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rivate-my.sharepoint.com/personal/alicia_chen_clarivate_com/Documents/Customers/YZU 元智大學/"/>
    </mc:Choice>
  </mc:AlternateContent>
  <xr:revisionPtr revIDLastSave="7" documentId="8_{964882D0-C2B5-47E2-9D07-7A844B7FD2FB}" xr6:coauthVersionLast="47" xr6:coauthVersionMax="47" xr10:uidLastSave="{312C70F9-8E59-4C37-84BD-AC8CA4953B36}"/>
  <bookViews>
    <workbookView xWindow="-28920" yWindow="-5895" windowWidth="29040" windowHeight="15840" xr2:uid="{00000000-000D-0000-FFFF-FFFF00000000}"/>
  </bookViews>
  <sheets>
    <sheet name="SDG_YZU" sheetId="2" r:id="rId1"/>
    <sheet name="SDG_2023Q1" sheetId="5" r:id="rId2"/>
  </sheets>
  <definedNames>
    <definedName name="_xlnm._FilterDatabase" localSheetId="1" hidden="1">SDG_2023Q1!$A$1:$P$1</definedName>
    <definedName name="_xlnm._FilterDatabase" localSheetId="0" hidden="1">SDG_YZU!$A$1:$P$1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41" i="5" l="1"/>
  <c r="C1941" i="5"/>
  <c r="D1940" i="5"/>
  <c r="C1940" i="5"/>
  <c r="D1939" i="5"/>
  <c r="C1939" i="5"/>
  <c r="D1938" i="5"/>
  <c r="C1938" i="5"/>
  <c r="D1937" i="5"/>
  <c r="C1937" i="5"/>
  <c r="D1936" i="5"/>
  <c r="C1936" i="5"/>
  <c r="D1935" i="5"/>
  <c r="C1935" i="5"/>
  <c r="D1934" i="5"/>
  <c r="C1934" i="5"/>
  <c r="D1933" i="5"/>
  <c r="C1933" i="5"/>
  <c r="D1932" i="5"/>
  <c r="C1932" i="5"/>
  <c r="D1931" i="5"/>
  <c r="C1931" i="5"/>
  <c r="D1930" i="5"/>
  <c r="C1930" i="5"/>
  <c r="D1929" i="5"/>
  <c r="C1929" i="5"/>
  <c r="D1928" i="5"/>
  <c r="C1928" i="5"/>
  <c r="D1927" i="5"/>
  <c r="C1927" i="5"/>
  <c r="D1926" i="5"/>
  <c r="C1926" i="5"/>
  <c r="D1925" i="5"/>
  <c r="C1925" i="5"/>
  <c r="D1924" i="5"/>
  <c r="C1924" i="5"/>
  <c r="D1923" i="5"/>
  <c r="C1923" i="5"/>
  <c r="D1922" i="5"/>
  <c r="C1922" i="5"/>
  <c r="D1921" i="5"/>
  <c r="C1921" i="5"/>
  <c r="D1920" i="5"/>
  <c r="C1920" i="5"/>
  <c r="D1919" i="5"/>
  <c r="C1919" i="5"/>
  <c r="D1918" i="5"/>
  <c r="C1918" i="5"/>
  <c r="D1917" i="5"/>
  <c r="C1917" i="5"/>
  <c r="D1916" i="5"/>
  <c r="C1916" i="5"/>
  <c r="D1915" i="5"/>
  <c r="C1915" i="5"/>
  <c r="D1914" i="5"/>
  <c r="C1914" i="5"/>
  <c r="D1913" i="5"/>
  <c r="C1913" i="5"/>
  <c r="D1912" i="5"/>
  <c r="C1912" i="5"/>
  <c r="D1911" i="5"/>
  <c r="C1911" i="5"/>
  <c r="D1910" i="5"/>
  <c r="C1910" i="5"/>
  <c r="D1909" i="5"/>
  <c r="C1909" i="5"/>
  <c r="D1908" i="5"/>
  <c r="C1908" i="5"/>
  <c r="D1907" i="5"/>
  <c r="C1907" i="5"/>
  <c r="D1906" i="5"/>
  <c r="C1906" i="5"/>
  <c r="D1905" i="5"/>
  <c r="C1905" i="5"/>
  <c r="D1904" i="5"/>
  <c r="C1904" i="5"/>
  <c r="D1903" i="5"/>
  <c r="C1903" i="5"/>
  <c r="D1902" i="5"/>
  <c r="C1902" i="5"/>
  <c r="D1901" i="5"/>
  <c r="C1901" i="5"/>
  <c r="D1900" i="5"/>
  <c r="C1900" i="5"/>
  <c r="D1899" i="5"/>
  <c r="C1899" i="5"/>
  <c r="D1898" i="5"/>
  <c r="C1898" i="5"/>
  <c r="D1897" i="5"/>
  <c r="C1897" i="5"/>
  <c r="D1896" i="5"/>
  <c r="C1896" i="5"/>
  <c r="D1895" i="5"/>
  <c r="C1895" i="5"/>
  <c r="D1894" i="5"/>
  <c r="C1894" i="5"/>
  <c r="D1893" i="5"/>
  <c r="C1893" i="5"/>
  <c r="D1892" i="5"/>
  <c r="C1892" i="5"/>
  <c r="D1891" i="5"/>
  <c r="C1891" i="5"/>
  <c r="D1890" i="5"/>
  <c r="C1890" i="5"/>
  <c r="D1889" i="5"/>
  <c r="C1889" i="5"/>
  <c r="D1888" i="5"/>
  <c r="C1888" i="5"/>
  <c r="D1887" i="5"/>
  <c r="C1887" i="5"/>
  <c r="D1886" i="5"/>
  <c r="C1886" i="5"/>
  <c r="D1885" i="5"/>
  <c r="C1885" i="5"/>
  <c r="D1884" i="5"/>
  <c r="C1884" i="5"/>
  <c r="D1883" i="5"/>
  <c r="C1883" i="5"/>
  <c r="D1882" i="5"/>
  <c r="C1882" i="5"/>
  <c r="D1881" i="5"/>
  <c r="C1881" i="5"/>
  <c r="D1880" i="5"/>
  <c r="C1880" i="5"/>
  <c r="D1879" i="5"/>
  <c r="C1879" i="5"/>
  <c r="D1878" i="5"/>
  <c r="C1878" i="5"/>
  <c r="D1877" i="5"/>
  <c r="C1877" i="5"/>
  <c r="D1876" i="5"/>
  <c r="C1876" i="5"/>
  <c r="D1875" i="5"/>
  <c r="C1875" i="5"/>
  <c r="D1874" i="5"/>
  <c r="C1874" i="5"/>
  <c r="D1873" i="5"/>
  <c r="C1873" i="5"/>
  <c r="D1872" i="5"/>
  <c r="C1872" i="5"/>
  <c r="D1871" i="5"/>
  <c r="C1871" i="5"/>
  <c r="D1870" i="5"/>
  <c r="C1870" i="5"/>
  <c r="D1869" i="5"/>
  <c r="C1869" i="5"/>
  <c r="D1868" i="5"/>
  <c r="C1868" i="5"/>
  <c r="D1867" i="5"/>
  <c r="C1867" i="5"/>
  <c r="D1866" i="5"/>
  <c r="C1866" i="5"/>
  <c r="D1865" i="5"/>
  <c r="C1865" i="5"/>
  <c r="D1864" i="5"/>
  <c r="C1864" i="5"/>
  <c r="D1863" i="5"/>
  <c r="C1863" i="5"/>
  <c r="D1862" i="5"/>
  <c r="C1862" i="5"/>
  <c r="D1861" i="5"/>
  <c r="C1861" i="5"/>
  <c r="D1860" i="5"/>
  <c r="C1860" i="5"/>
  <c r="D1859" i="5"/>
  <c r="C1859" i="5"/>
  <c r="D1858" i="5"/>
  <c r="C1858" i="5"/>
  <c r="D1857" i="5"/>
  <c r="C1857" i="5"/>
  <c r="D1856" i="5"/>
  <c r="C1856" i="5"/>
  <c r="D1855" i="5"/>
  <c r="C1855" i="5"/>
  <c r="D1854" i="5"/>
  <c r="C1854" i="5"/>
  <c r="D1853" i="5"/>
  <c r="C1853" i="5"/>
  <c r="D1852" i="5"/>
  <c r="C1852" i="5"/>
  <c r="D1851" i="5"/>
  <c r="C1851" i="5"/>
  <c r="D1850" i="5"/>
  <c r="C1850" i="5"/>
  <c r="D1849" i="5"/>
  <c r="C1849" i="5"/>
  <c r="D1848" i="5"/>
  <c r="C1848" i="5"/>
  <c r="D1847" i="5"/>
  <c r="C1847" i="5"/>
  <c r="D1846" i="5"/>
  <c r="C1846" i="5"/>
  <c r="D1845" i="5"/>
  <c r="C1845" i="5"/>
  <c r="D1844" i="5"/>
  <c r="C1844" i="5"/>
  <c r="D1843" i="5"/>
  <c r="C1843" i="5"/>
  <c r="D1842" i="5"/>
  <c r="C1842" i="5"/>
  <c r="D1841" i="5"/>
  <c r="C1841" i="5"/>
  <c r="D1840" i="5"/>
  <c r="C1840" i="5"/>
  <c r="D1839" i="5"/>
  <c r="C1839" i="5"/>
  <c r="D1838" i="5"/>
  <c r="C1838" i="5"/>
  <c r="D1837" i="5"/>
  <c r="C1837" i="5"/>
  <c r="D1836" i="5"/>
  <c r="C1836" i="5"/>
  <c r="D1835" i="5"/>
  <c r="C1835" i="5"/>
  <c r="D1834" i="5"/>
  <c r="C1834" i="5"/>
  <c r="D1833" i="5"/>
  <c r="C1833" i="5"/>
  <c r="D1832" i="5"/>
  <c r="C1832" i="5"/>
  <c r="D1831" i="5"/>
  <c r="C1831" i="5"/>
  <c r="D1830" i="5"/>
  <c r="C1830" i="5"/>
  <c r="D1829" i="5"/>
  <c r="C1829" i="5"/>
  <c r="D1828" i="5"/>
  <c r="C1828" i="5"/>
  <c r="D1827" i="5"/>
  <c r="C1827" i="5"/>
  <c r="D1826" i="5"/>
  <c r="C1826" i="5"/>
  <c r="D1825" i="5"/>
  <c r="C1825" i="5"/>
  <c r="D1824" i="5"/>
  <c r="C1824" i="5"/>
  <c r="D1823" i="5"/>
  <c r="C1823" i="5"/>
  <c r="D1822" i="5"/>
  <c r="C1822" i="5"/>
  <c r="D1821" i="5"/>
  <c r="C1821" i="5"/>
  <c r="D1820" i="5"/>
  <c r="C1820" i="5"/>
  <c r="D1819" i="5"/>
  <c r="C1819" i="5"/>
  <c r="D1818" i="5"/>
  <c r="C1818" i="5"/>
  <c r="D1817" i="5"/>
  <c r="C1817" i="5"/>
  <c r="D1816" i="5"/>
  <c r="C1816" i="5"/>
  <c r="D1815" i="5"/>
  <c r="C1815" i="5"/>
  <c r="D1814" i="5"/>
  <c r="C1814" i="5"/>
  <c r="D1813" i="5"/>
  <c r="C1813" i="5"/>
  <c r="D1812" i="5"/>
  <c r="C1812" i="5"/>
  <c r="D1811" i="5"/>
  <c r="C1811" i="5"/>
  <c r="D1810" i="5"/>
  <c r="C1810" i="5"/>
  <c r="D1809" i="5"/>
  <c r="C1809" i="5"/>
  <c r="D1808" i="5"/>
  <c r="C1808" i="5"/>
  <c r="D1807" i="5"/>
  <c r="C1807" i="5"/>
  <c r="D1806" i="5"/>
  <c r="C1806" i="5"/>
  <c r="D1805" i="5"/>
  <c r="C1805" i="5"/>
  <c r="D1804" i="5"/>
  <c r="C1804" i="5"/>
  <c r="D1803" i="5"/>
  <c r="C1803" i="5"/>
  <c r="D1802" i="5"/>
  <c r="C1802" i="5"/>
  <c r="D1801" i="5"/>
  <c r="C1801" i="5"/>
  <c r="D1800" i="5"/>
  <c r="C1800" i="5"/>
  <c r="D1799" i="5"/>
  <c r="C1799" i="5"/>
  <c r="D1798" i="5"/>
  <c r="C1798" i="5"/>
  <c r="D1797" i="5"/>
  <c r="C1797" i="5"/>
  <c r="D1796" i="5"/>
  <c r="C1796" i="5"/>
  <c r="D1795" i="5"/>
  <c r="C1795" i="5"/>
  <c r="D1794" i="5"/>
  <c r="C1794" i="5"/>
  <c r="D1793" i="5"/>
  <c r="C1793" i="5"/>
  <c r="D1792" i="5"/>
  <c r="C1792" i="5"/>
  <c r="D1791" i="5"/>
  <c r="C1791" i="5"/>
  <c r="D1790" i="5"/>
  <c r="C1790" i="5"/>
  <c r="D1789" i="5"/>
  <c r="C1789" i="5"/>
  <c r="D1788" i="5"/>
  <c r="C1788" i="5"/>
  <c r="D1787" i="5"/>
  <c r="C1787" i="5"/>
  <c r="D1786" i="5"/>
  <c r="C1786" i="5"/>
  <c r="D1785" i="5"/>
  <c r="C1785" i="5"/>
  <c r="D1784" i="5"/>
  <c r="C1784" i="5"/>
  <c r="D1783" i="5"/>
  <c r="C1783" i="5"/>
  <c r="D1782" i="5"/>
  <c r="C1782" i="5"/>
  <c r="D1781" i="5"/>
  <c r="C1781" i="5"/>
  <c r="D1780" i="5"/>
  <c r="C1780" i="5"/>
  <c r="D1779" i="5"/>
  <c r="C1779" i="5"/>
  <c r="D1778" i="5"/>
  <c r="C1778" i="5"/>
  <c r="D1777" i="5"/>
  <c r="C1777" i="5"/>
  <c r="D1776" i="5"/>
  <c r="C1776" i="5"/>
  <c r="D1775" i="5"/>
  <c r="C1775" i="5"/>
  <c r="D1774" i="5"/>
  <c r="C1774" i="5"/>
  <c r="D1773" i="5"/>
  <c r="C1773" i="5"/>
  <c r="D1772" i="5"/>
  <c r="C1772" i="5"/>
  <c r="D1771" i="5"/>
  <c r="C1771" i="5"/>
  <c r="D1770" i="5"/>
  <c r="C1770" i="5"/>
  <c r="D1769" i="5"/>
  <c r="C1769" i="5"/>
  <c r="D1768" i="5"/>
  <c r="C1768" i="5"/>
  <c r="D1767" i="5"/>
  <c r="C1767" i="5"/>
  <c r="D1766" i="5"/>
  <c r="C1766" i="5"/>
  <c r="D1765" i="5"/>
  <c r="C1765" i="5"/>
  <c r="D1764" i="5"/>
  <c r="C1764" i="5"/>
  <c r="D1763" i="5"/>
  <c r="C1763" i="5"/>
  <c r="D1762" i="5"/>
  <c r="C1762" i="5"/>
  <c r="D1761" i="5"/>
  <c r="C1761" i="5"/>
  <c r="D1760" i="5"/>
  <c r="C1760" i="5"/>
  <c r="D1759" i="5"/>
  <c r="C1759" i="5"/>
  <c r="D1758" i="5"/>
  <c r="C1758" i="5"/>
  <c r="D1757" i="5"/>
  <c r="C1757" i="5"/>
  <c r="D1756" i="5"/>
  <c r="C1756" i="5"/>
  <c r="D1755" i="5"/>
  <c r="C1755" i="5"/>
  <c r="D1754" i="5"/>
  <c r="C1754" i="5"/>
  <c r="D1753" i="5"/>
  <c r="C1753" i="5"/>
  <c r="D1752" i="5"/>
  <c r="C1752" i="5"/>
  <c r="D1751" i="5"/>
  <c r="C1751" i="5"/>
  <c r="D1750" i="5"/>
  <c r="C1750" i="5"/>
  <c r="D1749" i="5"/>
  <c r="C1749" i="5"/>
  <c r="D1748" i="5"/>
  <c r="C1748" i="5"/>
  <c r="D1747" i="5"/>
  <c r="C1747" i="5"/>
  <c r="D1746" i="5"/>
  <c r="C1746" i="5"/>
  <c r="D1745" i="5"/>
  <c r="C1745" i="5"/>
  <c r="D1744" i="5"/>
  <c r="C1744" i="5"/>
  <c r="D1743" i="5"/>
  <c r="C1743" i="5"/>
  <c r="D1742" i="5"/>
  <c r="C1742" i="5"/>
  <c r="D1741" i="5"/>
  <c r="C1741" i="5"/>
  <c r="D1740" i="5"/>
  <c r="C1740" i="5"/>
  <c r="D1739" i="5"/>
  <c r="C1739" i="5"/>
  <c r="D1738" i="5"/>
  <c r="C1738" i="5"/>
  <c r="D1737" i="5"/>
  <c r="C1737" i="5"/>
  <c r="D1736" i="5"/>
  <c r="C1736" i="5"/>
  <c r="D1735" i="5"/>
  <c r="C1735" i="5"/>
  <c r="D1734" i="5"/>
  <c r="C1734" i="5"/>
  <c r="D1733" i="5"/>
  <c r="C1733" i="5"/>
  <c r="D1732" i="5"/>
  <c r="C1732" i="5"/>
  <c r="D1731" i="5"/>
  <c r="C1731" i="5"/>
  <c r="D1730" i="5"/>
  <c r="C1730" i="5"/>
  <c r="D1729" i="5"/>
  <c r="C1729" i="5"/>
  <c r="D1728" i="5"/>
  <c r="C1728" i="5"/>
  <c r="D1727" i="5"/>
  <c r="C1727" i="5"/>
  <c r="D1726" i="5"/>
  <c r="C1726" i="5"/>
  <c r="D1725" i="5"/>
  <c r="C1725" i="5"/>
  <c r="D1724" i="5"/>
  <c r="C1724" i="5"/>
  <c r="D1723" i="5"/>
  <c r="C1723" i="5"/>
  <c r="D1722" i="5"/>
  <c r="C1722" i="5"/>
  <c r="D1721" i="5"/>
  <c r="C1721" i="5"/>
  <c r="D1720" i="5"/>
  <c r="C1720" i="5"/>
  <c r="D1719" i="5"/>
  <c r="C1719" i="5"/>
  <c r="D1718" i="5"/>
  <c r="C1718" i="5"/>
  <c r="D1717" i="5"/>
  <c r="C1717" i="5"/>
  <c r="D1716" i="5"/>
  <c r="C1716" i="5"/>
  <c r="D1715" i="5"/>
  <c r="C1715" i="5"/>
  <c r="D1714" i="5"/>
  <c r="C1714" i="5"/>
  <c r="D1713" i="5"/>
  <c r="C1713" i="5"/>
  <c r="D1712" i="5"/>
  <c r="C1712" i="5"/>
  <c r="D1711" i="5"/>
  <c r="C1711" i="5"/>
  <c r="D1710" i="5"/>
  <c r="C1710" i="5"/>
  <c r="D1709" i="5"/>
  <c r="C1709" i="5"/>
  <c r="D1708" i="5"/>
  <c r="C1708" i="5"/>
  <c r="D1707" i="5"/>
  <c r="C1707" i="5"/>
  <c r="D1706" i="5"/>
  <c r="C1706" i="5"/>
  <c r="D1705" i="5"/>
  <c r="C1705" i="5"/>
  <c r="D1704" i="5"/>
  <c r="C1704" i="5"/>
  <c r="D1703" i="5"/>
  <c r="C1703" i="5"/>
  <c r="D1702" i="5"/>
  <c r="C1702" i="5"/>
  <c r="D1701" i="5"/>
  <c r="C1701" i="5"/>
  <c r="D1700" i="5"/>
  <c r="C1700" i="5"/>
  <c r="D1699" i="5"/>
  <c r="C1699" i="5"/>
  <c r="D1698" i="5"/>
  <c r="C1698" i="5"/>
  <c r="D1697" i="5"/>
  <c r="C1697" i="5"/>
  <c r="D1696" i="5"/>
  <c r="C1696" i="5"/>
  <c r="D1695" i="5"/>
  <c r="C1695" i="5"/>
  <c r="D1694" i="5"/>
  <c r="C1694" i="5"/>
  <c r="D1693" i="5"/>
  <c r="C1693" i="5"/>
  <c r="D1692" i="5"/>
  <c r="C1692" i="5"/>
  <c r="D1691" i="5"/>
  <c r="C1691" i="5"/>
  <c r="D1690" i="5"/>
  <c r="C1690" i="5"/>
  <c r="D1689" i="5"/>
  <c r="C1689" i="5"/>
  <c r="D1688" i="5"/>
  <c r="C1688" i="5"/>
  <c r="D1687" i="5"/>
  <c r="C1687" i="5"/>
  <c r="D1686" i="5"/>
  <c r="C1686" i="5"/>
  <c r="D1685" i="5"/>
  <c r="C1685" i="5"/>
  <c r="D1684" i="5"/>
  <c r="C1684" i="5"/>
  <c r="D1683" i="5"/>
  <c r="C1683" i="5"/>
  <c r="D1682" i="5"/>
  <c r="C1682" i="5"/>
  <c r="D1681" i="5"/>
  <c r="C1681" i="5"/>
  <c r="D1680" i="5"/>
  <c r="C1680" i="5"/>
  <c r="D1679" i="5"/>
  <c r="C1679" i="5"/>
  <c r="D1678" i="5"/>
  <c r="C1678" i="5"/>
  <c r="D1677" i="5"/>
  <c r="C1677" i="5"/>
  <c r="D1676" i="5"/>
  <c r="C1676" i="5"/>
  <c r="D1675" i="5"/>
  <c r="C1675" i="5"/>
  <c r="D1674" i="5"/>
  <c r="C1674" i="5"/>
  <c r="D1673" i="5"/>
  <c r="C1673" i="5"/>
  <c r="D1672" i="5"/>
  <c r="C1672" i="5"/>
  <c r="D1671" i="5"/>
  <c r="C1671" i="5"/>
  <c r="D1670" i="5"/>
  <c r="C1670" i="5"/>
  <c r="D1669" i="5"/>
  <c r="C1669" i="5"/>
  <c r="D1668" i="5"/>
  <c r="C1668" i="5"/>
  <c r="D1667" i="5"/>
  <c r="C1667" i="5"/>
  <c r="D1666" i="5"/>
  <c r="C1666" i="5"/>
  <c r="D1665" i="5"/>
  <c r="C1665" i="5"/>
  <c r="D1664" i="5"/>
  <c r="C1664" i="5"/>
  <c r="D1663" i="5"/>
  <c r="C1663" i="5"/>
  <c r="D1662" i="5"/>
  <c r="C1662" i="5"/>
  <c r="D1661" i="5"/>
  <c r="C1661" i="5"/>
  <c r="D1660" i="5"/>
  <c r="C1660" i="5"/>
  <c r="D1659" i="5"/>
  <c r="C1659" i="5"/>
  <c r="D1658" i="5"/>
  <c r="C1658" i="5"/>
  <c r="D1657" i="5"/>
  <c r="C1657" i="5"/>
  <c r="D1656" i="5"/>
  <c r="C1656" i="5"/>
  <c r="D1655" i="5"/>
  <c r="C1655" i="5"/>
  <c r="D1654" i="5"/>
  <c r="C1654" i="5"/>
  <c r="D1653" i="5"/>
  <c r="C1653" i="5"/>
  <c r="D1652" i="5"/>
  <c r="C1652" i="5"/>
  <c r="D1651" i="5"/>
  <c r="C1651" i="5"/>
  <c r="D1650" i="5"/>
  <c r="C1650" i="5"/>
  <c r="D1649" i="5"/>
  <c r="C1649" i="5"/>
  <c r="D1648" i="5"/>
  <c r="C1648" i="5"/>
  <c r="D1647" i="5"/>
  <c r="C1647" i="5"/>
  <c r="D1646" i="5"/>
  <c r="C1646" i="5"/>
  <c r="D1645" i="5"/>
  <c r="C1645" i="5"/>
  <c r="D1644" i="5"/>
  <c r="C1644" i="5"/>
  <c r="D1643" i="5"/>
  <c r="C1643" i="5"/>
  <c r="D1642" i="5"/>
  <c r="C1642" i="5"/>
  <c r="D1641" i="5"/>
  <c r="C1641" i="5"/>
  <c r="D1640" i="5"/>
  <c r="C1640" i="5"/>
  <c r="D1639" i="5"/>
  <c r="C1639" i="5"/>
  <c r="D1638" i="5"/>
  <c r="C1638" i="5"/>
  <c r="D1637" i="5"/>
  <c r="C1637" i="5"/>
  <c r="D1636" i="5"/>
  <c r="C1636" i="5"/>
  <c r="D1635" i="5"/>
  <c r="C1635" i="5"/>
  <c r="D1634" i="5"/>
  <c r="C1634" i="5"/>
  <c r="D1633" i="5"/>
  <c r="C1633" i="5"/>
  <c r="D1632" i="5"/>
  <c r="C1632" i="5"/>
  <c r="D1631" i="5"/>
  <c r="C1631" i="5"/>
  <c r="D1630" i="5"/>
  <c r="C1630" i="5"/>
  <c r="D1629" i="5"/>
  <c r="C1629" i="5"/>
  <c r="D1628" i="5"/>
  <c r="C1628" i="5"/>
  <c r="D1627" i="5"/>
  <c r="C1627" i="5"/>
  <c r="D1626" i="5"/>
  <c r="C1626" i="5"/>
  <c r="D1625" i="5"/>
  <c r="C1625" i="5"/>
  <c r="D1624" i="5"/>
  <c r="C1624" i="5"/>
  <c r="D1623" i="5"/>
  <c r="C1623" i="5"/>
  <c r="D1622" i="5"/>
  <c r="C1622" i="5"/>
  <c r="D1621" i="5"/>
  <c r="C1621" i="5"/>
  <c r="D1620" i="5"/>
  <c r="C1620" i="5"/>
  <c r="D1619" i="5"/>
  <c r="C1619" i="5"/>
  <c r="D1618" i="5"/>
  <c r="C1618" i="5"/>
  <c r="D1617" i="5"/>
  <c r="C1617" i="5"/>
  <c r="D1616" i="5"/>
  <c r="C1616" i="5"/>
  <c r="D1615" i="5"/>
  <c r="C1615" i="5"/>
  <c r="D1614" i="5"/>
  <c r="C1614" i="5"/>
  <c r="D1613" i="5"/>
  <c r="C1613" i="5"/>
  <c r="D1612" i="5"/>
  <c r="C1612" i="5"/>
  <c r="D1611" i="5"/>
  <c r="C1611" i="5"/>
  <c r="D1610" i="5"/>
  <c r="C1610" i="5"/>
  <c r="D1609" i="5"/>
  <c r="C1609" i="5"/>
  <c r="D1608" i="5"/>
  <c r="C1608" i="5"/>
  <c r="D1607" i="5"/>
  <c r="C1607" i="5"/>
  <c r="D1606" i="5"/>
  <c r="C1606" i="5"/>
  <c r="D1605" i="5"/>
  <c r="C1605" i="5"/>
  <c r="D1604" i="5"/>
  <c r="C1604" i="5"/>
  <c r="D1603" i="5"/>
  <c r="C1603" i="5"/>
  <c r="D1602" i="5"/>
  <c r="C1602" i="5"/>
  <c r="D1601" i="5"/>
  <c r="C1601" i="5"/>
  <c r="D1600" i="5"/>
  <c r="C1600" i="5"/>
  <c r="D1599" i="5"/>
  <c r="C1599" i="5"/>
  <c r="D1598" i="5"/>
  <c r="C1598" i="5"/>
  <c r="D1597" i="5"/>
  <c r="C1597" i="5"/>
  <c r="D1596" i="5"/>
  <c r="C1596" i="5"/>
  <c r="D1595" i="5"/>
  <c r="C1595" i="5"/>
  <c r="D1594" i="5"/>
  <c r="C1594" i="5"/>
  <c r="D1593" i="5"/>
  <c r="C1593" i="5"/>
  <c r="D1592" i="5"/>
  <c r="C1592" i="5"/>
  <c r="D1591" i="5"/>
  <c r="C1591" i="5"/>
  <c r="D1590" i="5"/>
  <c r="C1590" i="5"/>
  <c r="D1589" i="5"/>
  <c r="C1589" i="5"/>
  <c r="D1588" i="5"/>
  <c r="C1588" i="5"/>
  <c r="D1587" i="5"/>
  <c r="C1587" i="5"/>
  <c r="D1586" i="5"/>
  <c r="C1586" i="5"/>
  <c r="D1585" i="5"/>
  <c r="C1585" i="5"/>
  <c r="D1584" i="5"/>
  <c r="C1584" i="5"/>
  <c r="D1583" i="5"/>
  <c r="C1583" i="5"/>
  <c r="D1582" i="5"/>
  <c r="C1582" i="5"/>
  <c r="D1581" i="5"/>
  <c r="C1581" i="5"/>
  <c r="D1580" i="5"/>
  <c r="C1580" i="5"/>
  <c r="D1579" i="5"/>
  <c r="C1579" i="5"/>
  <c r="D1578" i="5"/>
  <c r="C1578" i="5"/>
  <c r="D1577" i="5"/>
  <c r="C1577" i="5"/>
  <c r="D1576" i="5"/>
  <c r="C1576" i="5"/>
  <c r="D1575" i="5"/>
  <c r="C1575" i="5"/>
  <c r="D1574" i="5"/>
  <c r="C1574" i="5"/>
  <c r="D1573" i="5"/>
  <c r="C1573" i="5"/>
  <c r="D1572" i="5"/>
  <c r="C1572" i="5"/>
  <c r="D1571" i="5"/>
  <c r="C1571" i="5"/>
  <c r="D1570" i="5"/>
  <c r="C1570" i="5"/>
  <c r="D1569" i="5"/>
  <c r="C1569" i="5"/>
  <c r="D1568" i="5"/>
  <c r="C1568" i="5"/>
  <c r="D1567" i="5"/>
  <c r="C1567" i="5"/>
  <c r="D1566" i="5"/>
  <c r="C1566" i="5"/>
  <c r="D1565" i="5"/>
  <c r="C1565" i="5"/>
  <c r="D1564" i="5"/>
  <c r="C1564" i="5"/>
  <c r="D1563" i="5"/>
  <c r="C1563" i="5"/>
  <c r="D1562" i="5"/>
  <c r="C1562" i="5"/>
  <c r="D1561" i="5"/>
  <c r="C1561" i="5"/>
  <c r="D1560" i="5"/>
  <c r="C1560" i="5"/>
  <c r="D1559" i="5"/>
  <c r="C1559" i="5"/>
  <c r="D1558" i="5"/>
  <c r="C1558" i="5"/>
  <c r="D1557" i="5"/>
  <c r="C1557" i="5"/>
  <c r="D1556" i="5"/>
  <c r="C1556" i="5"/>
  <c r="D1555" i="5"/>
  <c r="C1555" i="5"/>
  <c r="D1554" i="5"/>
  <c r="C1554" i="5"/>
  <c r="D1553" i="5"/>
  <c r="C1553" i="5"/>
  <c r="D1552" i="5"/>
  <c r="C1552" i="5"/>
  <c r="D1551" i="5"/>
  <c r="C1551" i="5"/>
  <c r="D1550" i="5"/>
  <c r="C1550" i="5"/>
  <c r="D1549" i="5"/>
  <c r="C1549" i="5"/>
  <c r="D1548" i="5"/>
  <c r="C1548" i="5"/>
  <c r="D1547" i="5"/>
  <c r="C1547" i="5"/>
  <c r="D1546" i="5"/>
  <c r="C1546" i="5"/>
  <c r="D1545" i="5"/>
  <c r="C1545" i="5"/>
  <c r="D1544" i="5"/>
  <c r="C1544" i="5"/>
  <c r="D1543" i="5"/>
  <c r="C1543" i="5"/>
  <c r="D1542" i="5"/>
  <c r="C1542" i="5"/>
  <c r="D1541" i="5"/>
  <c r="C1541" i="5"/>
  <c r="D1540" i="5"/>
  <c r="C1540" i="5"/>
  <c r="D1539" i="5"/>
  <c r="C1539" i="5"/>
  <c r="D1538" i="5"/>
  <c r="C1538" i="5"/>
  <c r="D1537" i="5"/>
  <c r="C1537" i="5"/>
  <c r="D1536" i="5"/>
  <c r="C1536" i="5"/>
  <c r="D1535" i="5"/>
  <c r="C1535" i="5"/>
  <c r="D1534" i="5"/>
  <c r="C1534" i="5"/>
  <c r="D1533" i="5"/>
  <c r="C1533" i="5"/>
  <c r="D1532" i="5"/>
  <c r="C1532" i="5"/>
  <c r="D1531" i="5"/>
  <c r="C1531" i="5"/>
  <c r="D1530" i="5"/>
  <c r="C1530" i="5"/>
  <c r="D1529" i="5"/>
  <c r="C1529" i="5"/>
  <c r="D1528" i="5"/>
  <c r="C1528" i="5"/>
  <c r="D1527" i="5"/>
  <c r="C1527" i="5"/>
  <c r="D1526" i="5"/>
  <c r="C1526" i="5"/>
  <c r="D1525" i="5"/>
  <c r="C1525" i="5"/>
  <c r="D1524" i="5"/>
  <c r="C1524" i="5"/>
  <c r="D1523" i="5"/>
  <c r="C1523" i="5"/>
  <c r="D1522" i="5"/>
  <c r="C1522" i="5"/>
  <c r="D1521" i="5"/>
  <c r="C1521" i="5"/>
  <c r="D1520" i="5"/>
  <c r="C1520" i="5"/>
  <c r="D1519" i="5"/>
  <c r="C1519" i="5"/>
  <c r="D1518" i="5"/>
  <c r="C1518" i="5"/>
  <c r="D1517" i="5"/>
  <c r="C1517" i="5"/>
  <c r="D1516" i="5"/>
  <c r="C1516" i="5"/>
  <c r="D1515" i="5"/>
  <c r="C1515" i="5"/>
  <c r="D1514" i="5"/>
  <c r="C1514" i="5"/>
  <c r="D1513" i="5"/>
  <c r="C1513" i="5"/>
  <c r="D1512" i="5"/>
  <c r="C1512" i="5"/>
  <c r="D1511" i="5"/>
  <c r="C1511" i="5"/>
  <c r="D1510" i="5"/>
  <c r="C1510" i="5"/>
  <c r="D1509" i="5"/>
  <c r="C1509" i="5"/>
  <c r="D1508" i="5"/>
  <c r="C1508" i="5"/>
  <c r="D1507" i="5"/>
  <c r="C1507" i="5"/>
  <c r="D1506" i="5"/>
  <c r="C1506" i="5"/>
  <c r="D1505" i="5"/>
  <c r="C1505" i="5"/>
  <c r="D1504" i="5"/>
  <c r="C1504" i="5"/>
  <c r="D1503" i="5"/>
  <c r="C1503" i="5"/>
  <c r="D1502" i="5"/>
  <c r="C1502" i="5"/>
  <c r="D1501" i="5"/>
  <c r="C1501" i="5"/>
  <c r="D1500" i="5"/>
  <c r="C1500" i="5"/>
  <c r="D1499" i="5"/>
  <c r="C1499" i="5"/>
  <c r="D1498" i="5"/>
  <c r="C1498" i="5"/>
  <c r="D1497" i="5"/>
  <c r="C1497" i="5"/>
  <c r="D1496" i="5"/>
  <c r="C1496" i="5"/>
  <c r="D1495" i="5"/>
  <c r="C1495" i="5"/>
  <c r="D1494" i="5"/>
  <c r="C1494" i="5"/>
  <c r="D1493" i="5"/>
  <c r="C1493" i="5"/>
  <c r="D1492" i="5"/>
  <c r="C1492" i="5"/>
  <c r="D1491" i="5"/>
  <c r="C1491" i="5"/>
  <c r="D1490" i="5"/>
  <c r="C1490" i="5"/>
  <c r="D1489" i="5"/>
  <c r="C1489" i="5"/>
  <c r="D1488" i="5"/>
  <c r="C1488" i="5"/>
  <c r="D1487" i="5"/>
  <c r="C1487" i="5"/>
  <c r="D1486" i="5"/>
  <c r="C1486" i="5"/>
  <c r="D1485" i="5"/>
  <c r="C1485" i="5"/>
  <c r="D1484" i="5"/>
  <c r="C1484" i="5"/>
  <c r="D1483" i="5"/>
  <c r="C1483" i="5"/>
  <c r="D1482" i="5"/>
  <c r="C1482" i="5"/>
  <c r="D1481" i="5"/>
  <c r="C1481" i="5"/>
  <c r="D1480" i="5"/>
  <c r="C1480" i="5"/>
  <c r="D1479" i="5"/>
  <c r="C1479" i="5"/>
  <c r="D1478" i="5"/>
  <c r="C1478" i="5"/>
  <c r="D1477" i="5"/>
  <c r="C1477" i="5"/>
  <c r="D1476" i="5"/>
  <c r="C1476" i="5"/>
  <c r="D1475" i="5"/>
  <c r="C1475" i="5"/>
  <c r="D1474" i="5"/>
  <c r="C1474" i="5"/>
  <c r="D1473" i="5"/>
  <c r="C1473" i="5"/>
  <c r="D1472" i="5"/>
  <c r="C1472" i="5"/>
  <c r="D1471" i="5"/>
  <c r="C1471" i="5"/>
  <c r="D1470" i="5"/>
  <c r="C1470" i="5"/>
  <c r="D1469" i="5"/>
  <c r="C1469" i="5"/>
  <c r="D1468" i="5"/>
  <c r="C1468" i="5"/>
  <c r="D1467" i="5"/>
  <c r="C1467" i="5"/>
  <c r="D1466" i="5"/>
  <c r="C1466" i="5"/>
  <c r="D1465" i="5"/>
  <c r="C1465" i="5"/>
  <c r="D1464" i="5"/>
  <c r="C1464" i="5"/>
  <c r="D1463" i="5"/>
  <c r="C1463" i="5"/>
  <c r="D1462" i="5"/>
  <c r="C1462" i="5"/>
  <c r="D1461" i="5"/>
  <c r="C1461" i="5"/>
  <c r="D1460" i="5"/>
  <c r="C1460" i="5"/>
  <c r="D1459" i="5"/>
  <c r="C1459" i="5"/>
  <c r="D1458" i="5"/>
  <c r="C1458" i="5"/>
  <c r="D1457" i="5"/>
  <c r="C1457" i="5"/>
  <c r="D1456" i="5"/>
  <c r="C1456" i="5"/>
  <c r="D1455" i="5"/>
  <c r="C1455" i="5"/>
  <c r="D1454" i="5"/>
  <c r="C1454" i="5"/>
  <c r="D1453" i="5"/>
  <c r="C1453" i="5"/>
  <c r="D1452" i="5"/>
  <c r="C1452" i="5"/>
  <c r="D1451" i="5"/>
  <c r="C1451" i="5"/>
  <c r="D1450" i="5"/>
  <c r="C1450" i="5"/>
  <c r="D1449" i="5"/>
  <c r="C1449" i="5"/>
  <c r="D1448" i="5"/>
  <c r="C1448" i="5"/>
  <c r="D1447" i="5"/>
  <c r="C1447" i="5"/>
  <c r="D1446" i="5"/>
  <c r="C1446" i="5"/>
  <c r="D1445" i="5"/>
  <c r="C1445" i="5"/>
  <c r="D1444" i="5"/>
  <c r="C1444" i="5"/>
  <c r="D1443" i="5"/>
  <c r="C1443" i="5"/>
  <c r="D1442" i="5"/>
  <c r="C1442" i="5"/>
  <c r="D1441" i="5"/>
  <c r="C1441" i="5"/>
  <c r="D1440" i="5"/>
  <c r="C1440" i="5"/>
  <c r="D1439" i="5"/>
  <c r="C1439" i="5"/>
  <c r="D1438" i="5"/>
  <c r="C1438" i="5"/>
  <c r="D1437" i="5"/>
  <c r="C1437" i="5"/>
  <c r="D1436" i="5"/>
  <c r="C1436" i="5"/>
  <c r="D1435" i="5"/>
  <c r="C1435" i="5"/>
  <c r="D1434" i="5"/>
  <c r="C1434" i="5"/>
  <c r="D1433" i="5"/>
  <c r="C1433" i="5"/>
  <c r="D1432" i="5"/>
  <c r="C1432" i="5"/>
  <c r="D1431" i="5"/>
  <c r="C1431" i="5"/>
  <c r="D1430" i="5"/>
  <c r="C1430" i="5"/>
  <c r="D1429" i="5"/>
  <c r="C1429" i="5"/>
  <c r="D1428" i="5"/>
  <c r="C1428" i="5"/>
  <c r="D1427" i="5"/>
  <c r="C1427" i="5"/>
  <c r="D1426" i="5"/>
  <c r="C1426" i="5"/>
  <c r="D1425" i="5"/>
  <c r="C1425" i="5"/>
  <c r="D1424" i="5"/>
  <c r="C1424" i="5"/>
  <c r="D1423" i="5"/>
  <c r="C1423" i="5"/>
  <c r="D1422" i="5"/>
  <c r="C1422" i="5"/>
  <c r="D1421" i="5"/>
  <c r="C1421" i="5"/>
  <c r="D1420" i="5"/>
  <c r="C1420" i="5"/>
  <c r="D1419" i="5"/>
  <c r="C1419" i="5"/>
  <c r="D1418" i="5"/>
  <c r="C1418" i="5"/>
  <c r="D1417" i="5"/>
  <c r="C1417" i="5"/>
  <c r="D1416" i="5"/>
  <c r="C1416" i="5"/>
  <c r="D1415" i="5"/>
  <c r="C1415" i="5"/>
  <c r="D1414" i="5"/>
  <c r="C1414" i="5"/>
  <c r="D1413" i="5"/>
  <c r="C1413" i="5"/>
  <c r="D1412" i="5"/>
  <c r="C1412" i="5"/>
  <c r="D1411" i="5"/>
  <c r="C1411" i="5"/>
  <c r="D1410" i="5"/>
  <c r="C1410" i="5"/>
  <c r="D1409" i="5"/>
  <c r="C1409" i="5"/>
  <c r="D1408" i="5"/>
  <c r="C1408" i="5"/>
  <c r="D1407" i="5"/>
  <c r="C1407" i="5"/>
  <c r="D1406" i="5"/>
  <c r="C1406" i="5"/>
  <c r="D1405" i="5"/>
  <c r="C1405" i="5"/>
  <c r="D1404" i="5"/>
  <c r="C1404" i="5"/>
  <c r="D1403" i="5"/>
  <c r="C1403" i="5"/>
  <c r="D1402" i="5"/>
  <c r="C1402" i="5"/>
  <c r="D1401" i="5"/>
  <c r="C1401" i="5"/>
  <c r="D1400" i="5"/>
  <c r="C1400" i="5"/>
  <c r="D1399" i="5"/>
  <c r="C1399" i="5"/>
  <c r="D1398" i="5"/>
  <c r="C1398" i="5"/>
  <c r="D1397" i="5"/>
  <c r="C1397" i="5"/>
  <c r="D1396" i="5"/>
  <c r="C1396" i="5"/>
  <c r="D1395" i="5"/>
  <c r="C1395" i="5"/>
  <c r="D1394" i="5"/>
  <c r="C1394" i="5"/>
  <c r="D1393" i="5"/>
  <c r="C1393" i="5"/>
  <c r="D1392" i="5"/>
  <c r="C1392" i="5"/>
  <c r="D1391" i="5"/>
  <c r="C1391" i="5"/>
  <c r="D1390" i="5"/>
  <c r="C1390" i="5"/>
  <c r="D1389" i="5"/>
  <c r="C1389" i="5"/>
  <c r="D1388" i="5"/>
  <c r="C1388" i="5"/>
  <c r="D1387" i="5"/>
  <c r="C1387" i="5"/>
  <c r="D1386" i="5"/>
  <c r="C1386" i="5"/>
  <c r="D1385" i="5"/>
  <c r="C1385" i="5"/>
  <c r="D1384" i="5"/>
  <c r="C1384" i="5"/>
  <c r="D1383" i="5"/>
  <c r="C1383" i="5"/>
  <c r="D1382" i="5"/>
  <c r="C1382" i="5"/>
  <c r="D1381" i="5"/>
  <c r="C1381" i="5"/>
  <c r="D1380" i="5"/>
  <c r="C1380" i="5"/>
  <c r="D1379" i="5"/>
  <c r="C1379" i="5"/>
  <c r="D1378" i="5"/>
  <c r="C1378" i="5"/>
  <c r="D1377" i="5"/>
  <c r="C1377" i="5"/>
  <c r="D1376" i="5"/>
  <c r="C1376" i="5"/>
  <c r="D1375" i="5"/>
  <c r="C1375" i="5"/>
  <c r="D1374" i="5"/>
  <c r="C1374" i="5"/>
  <c r="D1373" i="5"/>
  <c r="C1373" i="5"/>
  <c r="D1372" i="5"/>
  <c r="C1372" i="5"/>
  <c r="D1371" i="5"/>
  <c r="C1371" i="5"/>
  <c r="D1370" i="5"/>
  <c r="C1370" i="5"/>
  <c r="D1369" i="5"/>
  <c r="C1369" i="5"/>
  <c r="D1368" i="5"/>
  <c r="C1368" i="5"/>
  <c r="D1367" i="5"/>
  <c r="C1367" i="5"/>
  <c r="D1366" i="5"/>
  <c r="C1366" i="5"/>
  <c r="D1365" i="5"/>
  <c r="C1365" i="5"/>
  <c r="D1364" i="5"/>
  <c r="C1364" i="5"/>
  <c r="D1363" i="5"/>
  <c r="C1363" i="5"/>
  <c r="D1362" i="5"/>
  <c r="C1362" i="5"/>
  <c r="D1361" i="5"/>
  <c r="C1361" i="5"/>
  <c r="D1360" i="5"/>
  <c r="C1360" i="5"/>
  <c r="D1359" i="5"/>
  <c r="C1359" i="5"/>
  <c r="D1358" i="5"/>
  <c r="C1358" i="5"/>
  <c r="D1357" i="5"/>
  <c r="C1357" i="5"/>
  <c r="D1356" i="5"/>
  <c r="C1356" i="5"/>
  <c r="D1355" i="5"/>
  <c r="C1355" i="5"/>
  <c r="D1354" i="5"/>
  <c r="C1354" i="5"/>
  <c r="D1353" i="5"/>
  <c r="C1353" i="5"/>
  <c r="D1352" i="5"/>
  <c r="C1352" i="5"/>
  <c r="D1351" i="5"/>
  <c r="C1351" i="5"/>
  <c r="D1350" i="5"/>
  <c r="C1350" i="5"/>
  <c r="D1349" i="5"/>
  <c r="C1349" i="5"/>
  <c r="D1348" i="5"/>
  <c r="C1348" i="5"/>
  <c r="D1347" i="5"/>
  <c r="C1347" i="5"/>
  <c r="D1346" i="5"/>
  <c r="C1346" i="5"/>
  <c r="D1345" i="5"/>
  <c r="C1345" i="5"/>
  <c r="D1344" i="5"/>
  <c r="C1344" i="5"/>
  <c r="D1343" i="5"/>
  <c r="C1343" i="5"/>
  <c r="D1342" i="5"/>
  <c r="C1342" i="5"/>
  <c r="D1341" i="5"/>
  <c r="C1341" i="5"/>
  <c r="D1340" i="5"/>
  <c r="C1340" i="5"/>
  <c r="D1339" i="5"/>
  <c r="C1339" i="5"/>
  <c r="D1338" i="5"/>
  <c r="C1338" i="5"/>
  <c r="D1337" i="5"/>
  <c r="C1337" i="5"/>
  <c r="D1336" i="5"/>
  <c r="C1336" i="5"/>
  <c r="D1335" i="5"/>
  <c r="C1335" i="5"/>
  <c r="D1334" i="5"/>
  <c r="C1334" i="5"/>
  <c r="D1333" i="5"/>
  <c r="C1333" i="5"/>
  <c r="D1332" i="5"/>
  <c r="C1332" i="5"/>
  <c r="D1331" i="5"/>
  <c r="C1331" i="5"/>
  <c r="D1330" i="5"/>
  <c r="C1330" i="5"/>
  <c r="D1329" i="5"/>
  <c r="C1329" i="5"/>
  <c r="D1328" i="5"/>
  <c r="C1328" i="5"/>
  <c r="D1327" i="5"/>
  <c r="C1327" i="5"/>
  <c r="D1326" i="5"/>
  <c r="C1326" i="5"/>
  <c r="D1325" i="5"/>
  <c r="C1325" i="5"/>
  <c r="D1324" i="5"/>
  <c r="C1324" i="5"/>
  <c r="D1323" i="5"/>
  <c r="C1323" i="5"/>
  <c r="D1322" i="5"/>
  <c r="C1322" i="5"/>
  <c r="D1321" i="5"/>
  <c r="C1321" i="5"/>
  <c r="D1320" i="5"/>
  <c r="C1320" i="5"/>
  <c r="D1319" i="5"/>
  <c r="C1319" i="5"/>
  <c r="D1318" i="5"/>
  <c r="C1318" i="5"/>
  <c r="D1317" i="5"/>
  <c r="C1317" i="5"/>
  <c r="D1316" i="5"/>
  <c r="C1316" i="5"/>
  <c r="D1315" i="5"/>
  <c r="C1315" i="5"/>
  <c r="D1314" i="5"/>
  <c r="C1314" i="5"/>
  <c r="D1313" i="5"/>
  <c r="C1313" i="5"/>
  <c r="D1312" i="5"/>
  <c r="C1312" i="5"/>
  <c r="D1311" i="5"/>
  <c r="C1311" i="5"/>
  <c r="D1310" i="5"/>
  <c r="C1310" i="5"/>
  <c r="D1309" i="5"/>
  <c r="C1309" i="5"/>
  <c r="D1308" i="5"/>
  <c r="C1308" i="5"/>
  <c r="D1307" i="5"/>
  <c r="C1307" i="5"/>
  <c r="D1306" i="5"/>
  <c r="C1306" i="5"/>
  <c r="D1305" i="5"/>
  <c r="C1305" i="5"/>
  <c r="D1304" i="5"/>
  <c r="C1304" i="5"/>
  <c r="D1303" i="5"/>
  <c r="C1303" i="5"/>
  <c r="D1302" i="5"/>
  <c r="C1302" i="5"/>
  <c r="D1301" i="5"/>
  <c r="C1301" i="5"/>
  <c r="D1300" i="5"/>
  <c r="C1300" i="5"/>
  <c r="D1299" i="5"/>
  <c r="C1299" i="5"/>
  <c r="D1298" i="5"/>
  <c r="C1298" i="5"/>
  <c r="D1297" i="5"/>
  <c r="C1297" i="5"/>
  <c r="D1296" i="5"/>
  <c r="C1296" i="5"/>
  <c r="D1295" i="5"/>
  <c r="C1295" i="5"/>
  <c r="D1294" i="5"/>
  <c r="C1294" i="5"/>
  <c r="D1293" i="5"/>
  <c r="C1293" i="5"/>
  <c r="D1292" i="5"/>
  <c r="C1292" i="5"/>
  <c r="D1291" i="5"/>
  <c r="C1291" i="5"/>
  <c r="D1290" i="5"/>
  <c r="C1290" i="5"/>
  <c r="D1289" i="5"/>
  <c r="C1289" i="5"/>
  <c r="D1288" i="5"/>
  <c r="C1288" i="5"/>
  <c r="D1287" i="5"/>
  <c r="C1287" i="5"/>
  <c r="D1286" i="5"/>
  <c r="C1286" i="5"/>
  <c r="D1285" i="5"/>
  <c r="C1285" i="5"/>
  <c r="D1284" i="5"/>
  <c r="C1284" i="5"/>
  <c r="D1283" i="5"/>
  <c r="C1283" i="5"/>
  <c r="D1282" i="5"/>
  <c r="C1282" i="5"/>
  <c r="D1281" i="5"/>
  <c r="C1281" i="5"/>
  <c r="D1280" i="5"/>
  <c r="C1280" i="5"/>
  <c r="D1279" i="5"/>
  <c r="C1279" i="5"/>
  <c r="D1278" i="5"/>
  <c r="C1278" i="5"/>
  <c r="D1277" i="5"/>
  <c r="C1277" i="5"/>
  <c r="D1276" i="5"/>
  <c r="C1276" i="5"/>
  <c r="D1275" i="5"/>
  <c r="C1275" i="5"/>
  <c r="D1274" i="5"/>
  <c r="C1274" i="5"/>
  <c r="D1273" i="5"/>
  <c r="C1273" i="5"/>
  <c r="D1272" i="5"/>
  <c r="C1272" i="5"/>
  <c r="D1271" i="5"/>
  <c r="C1271" i="5"/>
  <c r="D1270" i="5"/>
  <c r="C1270" i="5"/>
  <c r="D1269" i="5"/>
  <c r="C1269" i="5"/>
  <c r="D1268" i="5"/>
  <c r="C1268" i="5"/>
  <c r="D1267" i="5"/>
  <c r="C1267" i="5"/>
  <c r="D1266" i="5"/>
  <c r="C1266" i="5"/>
  <c r="D1265" i="5"/>
  <c r="C1265" i="5"/>
  <c r="D1264" i="5"/>
  <c r="C1264" i="5"/>
  <c r="D1263" i="5"/>
  <c r="C1263" i="5"/>
  <c r="D1262" i="5"/>
  <c r="C1262" i="5"/>
  <c r="D1261" i="5"/>
  <c r="C1261" i="5"/>
  <c r="D1260" i="5"/>
  <c r="C1260" i="5"/>
  <c r="D1259" i="5"/>
  <c r="C1259" i="5"/>
  <c r="D1258" i="5"/>
  <c r="C1258" i="5"/>
  <c r="D1257" i="5"/>
  <c r="C1257" i="5"/>
  <c r="D1256" i="5"/>
  <c r="C1256" i="5"/>
  <c r="D1255" i="5"/>
  <c r="C1255" i="5"/>
  <c r="D1254" i="5"/>
  <c r="C1254" i="5"/>
  <c r="D1253" i="5"/>
  <c r="C1253" i="5"/>
  <c r="D1252" i="5"/>
  <c r="C1252" i="5"/>
  <c r="D1251" i="5"/>
  <c r="C1251" i="5"/>
  <c r="D1250" i="5"/>
  <c r="C1250" i="5"/>
  <c r="D1249" i="5"/>
  <c r="C1249" i="5"/>
  <c r="D1248" i="5"/>
  <c r="C1248" i="5"/>
  <c r="D1247" i="5"/>
  <c r="C1247" i="5"/>
  <c r="D1246" i="5"/>
  <c r="C1246" i="5"/>
  <c r="D1245" i="5"/>
  <c r="C1245" i="5"/>
  <c r="D1244" i="5"/>
  <c r="C1244" i="5"/>
  <c r="D1243" i="5"/>
  <c r="C1243" i="5"/>
  <c r="D1242" i="5"/>
  <c r="C1242" i="5"/>
  <c r="D1241" i="5"/>
  <c r="C1241" i="5"/>
  <c r="D1240" i="5"/>
  <c r="C1240" i="5"/>
  <c r="D1239" i="5"/>
  <c r="C1239" i="5"/>
  <c r="D1238" i="5"/>
  <c r="C1238" i="5"/>
  <c r="D1237" i="5"/>
  <c r="C1237" i="5"/>
  <c r="D1236" i="5"/>
  <c r="C1236" i="5"/>
  <c r="D1235" i="5"/>
  <c r="C1235" i="5"/>
  <c r="D1234" i="5"/>
  <c r="C1234" i="5"/>
  <c r="D1233" i="5"/>
  <c r="C1233" i="5"/>
  <c r="D1232" i="5"/>
  <c r="C1232" i="5"/>
  <c r="D1231" i="5"/>
  <c r="C1231" i="5"/>
  <c r="D1230" i="5"/>
  <c r="C1230" i="5"/>
  <c r="D1229" i="5"/>
  <c r="C1229" i="5"/>
  <c r="D1228" i="5"/>
  <c r="C1228" i="5"/>
  <c r="D1227" i="5"/>
  <c r="C1227" i="5"/>
  <c r="D1226" i="5"/>
  <c r="C1226" i="5"/>
  <c r="D1225" i="5"/>
  <c r="C1225" i="5"/>
  <c r="D1224" i="5"/>
  <c r="C1224" i="5"/>
  <c r="D1223" i="5"/>
  <c r="C1223" i="5"/>
  <c r="D1222" i="5"/>
  <c r="C1222" i="5"/>
  <c r="D1221" i="5"/>
  <c r="C1221" i="5"/>
  <c r="D1220" i="5"/>
  <c r="C1220" i="5"/>
  <c r="D1219" i="5"/>
  <c r="C1219" i="5"/>
  <c r="D1218" i="5"/>
  <c r="C1218" i="5"/>
  <c r="D1217" i="5"/>
  <c r="C1217" i="5"/>
  <c r="D1216" i="5"/>
  <c r="C1216" i="5"/>
  <c r="D1215" i="5"/>
  <c r="C1215" i="5"/>
  <c r="D1214" i="5"/>
  <c r="C1214" i="5"/>
  <c r="D1213" i="5"/>
  <c r="C1213" i="5"/>
  <c r="D1212" i="5"/>
  <c r="C1212" i="5"/>
  <c r="D1211" i="5"/>
  <c r="C1211" i="5"/>
  <c r="D1210" i="5"/>
  <c r="C1210" i="5"/>
  <c r="D1209" i="5"/>
  <c r="C1209" i="5"/>
  <c r="D1208" i="5"/>
  <c r="C1208" i="5"/>
  <c r="D1207" i="5"/>
  <c r="C1207" i="5"/>
  <c r="D1206" i="5"/>
  <c r="C1206" i="5"/>
  <c r="D1205" i="5"/>
  <c r="C1205" i="5"/>
  <c r="D1204" i="5"/>
  <c r="C1204" i="5"/>
  <c r="D1203" i="5"/>
  <c r="C1203" i="5"/>
  <c r="D1202" i="5"/>
  <c r="C1202" i="5"/>
  <c r="D1201" i="5"/>
  <c r="C1201" i="5"/>
  <c r="D1200" i="5"/>
  <c r="C1200" i="5"/>
  <c r="D1199" i="5"/>
  <c r="C1199" i="5"/>
  <c r="D1198" i="5"/>
  <c r="C1198" i="5"/>
  <c r="D1197" i="5"/>
  <c r="C1197" i="5"/>
  <c r="D1196" i="5"/>
  <c r="C1196" i="5"/>
  <c r="D1195" i="5"/>
  <c r="C1195" i="5"/>
  <c r="D1194" i="5"/>
  <c r="C1194" i="5"/>
  <c r="D1193" i="5"/>
  <c r="C1193" i="5"/>
  <c r="D1192" i="5"/>
  <c r="C1192" i="5"/>
  <c r="D1191" i="5"/>
  <c r="C1191" i="5"/>
  <c r="D1190" i="5"/>
  <c r="C1190" i="5"/>
  <c r="D1189" i="5"/>
  <c r="C1189" i="5"/>
  <c r="D1188" i="5"/>
  <c r="C1188" i="5"/>
  <c r="D1187" i="5"/>
  <c r="C1187" i="5"/>
  <c r="D1186" i="5"/>
  <c r="C1186" i="5"/>
  <c r="D1185" i="5"/>
  <c r="C1185" i="5"/>
  <c r="D1184" i="5"/>
  <c r="C1184" i="5"/>
  <c r="D1183" i="5"/>
  <c r="C1183" i="5"/>
  <c r="D1182" i="5"/>
  <c r="C1182" i="5"/>
  <c r="D1181" i="5"/>
  <c r="C1181" i="5"/>
  <c r="D1180" i="5"/>
  <c r="C1180" i="5"/>
  <c r="D1179" i="5"/>
  <c r="C1179" i="5"/>
  <c r="D1178" i="5"/>
  <c r="C1178" i="5"/>
  <c r="D1177" i="5"/>
  <c r="C1177" i="5"/>
  <c r="D1176" i="5"/>
  <c r="C1176" i="5"/>
  <c r="D1175" i="5"/>
  <c r="C1175" i="5"/>
  <c r="D1174" i="5"/>
  <c r="C1174" i="5"/>
  <c r="D1173" i="5"/>
  <c r="C1173" i="5"/>
  <c r="D1172" i="5"/>
  <c r="C1172" i="5"/>
  <c r="D1171" i="5"/>
  <c r="C1171" i="5"/>
  <c r="D1170" i="5"/>
  <c r="C1170" i="5"/>
  <c r="D1169" i="5"/>
  <c r="C1169" i="5"/>
  <c r="D1168" i="5"/>
  <c r="C1168" i="5"/>
  <c r="D1167" i="5"/>
  <c r="C1167" i="5"/>
  <c r="D1166" i="5"/>
  <c r="C1166" i="5"/>
  <c r="D1165" i="5"/>
  <c r="C1165" i="5"/>
  <c r="D1164" i="5"/>
  <c r="C1164" i="5"/>
  <c r="D1163" i="5"/>
  <c r="C1163" i="5"/>
  <c r="D1162" i="5"/>
  <c r="C1162" i="5"/>
  <c r="D1161" i="5"/>
  <c r="C1161" i="5"/>
  <c r="D1160" i="5"/>
  <c r="C1160" i="5"/>
  <c r="D1159" i="5"/>
  <c r="C1159" i="5"/>
  <c r="D1158" i="5"/>
  <c r="C1158" i="5"/>
  <c r="D1157" i="5"/>
  <c r="C1157" i="5"/>
  <c r="D1156" i="5"/>
  <c r="C1156" i="5"/>
  <c r="D1155" i="5"/>
  <c r="C1155" i="5"/>
  <c r="D1154" i="5"/>
  <c r="C1154" i="5"/>
  <c r="D1153" i="5"/>
  <c r="C1153" i="5"/>
  <c r="D1152" i="5"/>
  <c r="C1152" i="5"/>
  <c r="D1151" i="5"/>
  <c r="C1151" i="5"/>
  <c r="D1150" i="5"/>
  <c r="C1150" i="5"/>
  <c r="D1149" i="5"/>
  <c r="C1149" i="5"/>
  <c r="D1148" i="5"/>
  <c r="C1148" i="5"/>
  <c r="D1147" i="5"/>
  <c r="C1147" i="5"/>
  <c r="D1146" i="5"/>
  <c r="C1146" i="5"/>
  <c r="D1145" i="5"/>
  <c r="C1145" i="5"/>
  <c r="D1144" i="5"/>
  <c r="C1144" i="5"/>
  <c r="D1143" i="5"/>
  <c r="C1143" i="5"/>
  <c r="D1142" i="5"/>
  <c r="C1142" i="5"/>
  <c r="D1141" i="5"/>
  <c r="C1141" i="5"/>
  <c r="D1140" i="5"/>
  <c r="C1140" i="5"/>
  <c r="D1139" i="5"/>
  <c r="C1139" i="5"/>
  <c r="D1138" i="5"/>
  <c r="C1138" i="5"/>
  <c r="D1137" i="5"/>
  <c r="C1137" i="5"/>
  <c r="D1136" i="5"/>
  <c r="C1136" i="5"/>
  <c r="D1135" i="5"/>
  <c r="C1135" i="5"/>
  <c r="D1134" i="5"/>
  <c r="C1134" i="5"/>
  <c r="D1133" i="5"/>
  <c r="C1133" i="5"/>
  <c r="D1132" i="5"/>
  <c r="C1132" i="5"/>
  <c r="D1131" i="5"/>
  <c r="C1131" i="5"/>
  <c r="D1130" i="5"/>
  <c r="C1130" i="5"/>
  <c r="D1129" i="5"/>
  <c r="C1129" i="5"/>
  <c r="D1128" i="5"/>
  <c r="C1128" i="5"/>
  <c r="D1127" i="5"/>
  <c r="C1127" i="5"/>
  <c r="D1126" i="5"/>
  <c r="C1126" i="5"/>
  <c r="D1125" i="5"/>
  <c r="C1125" i="5"/>
  <c r="D1124" i="5"/>
  <c r="C1124" i="5"/>
  <c r="D1123" i="5"/>
  <c r="C1123" i="5"/>
  <c r="D1122" i="5"/>
  <c r="C1122" i="5"/>
  <c r="D1121" i="5"/>
  <c r="C1121" i="5"/>
  <c r="D1120" i="5"/>
  <c r="C1120" i="5"/>
  <c r="D1119" i="5"/>
  <c r="C1119" i="5"/>
  <c r="D1118" i="5"/>
  <c r="C1118" i="5"/>
  <c r="D1117" i="5"/>
  <c r="C1117" i="5"/>
  <c r="D1116" i="5"/>
  <c r="C1116" i="5"/>
  <c r="D1115" i="5"/>
  <c r="C1115" i="5"/>
  <c r="D1114" i="5"/>
  <c r="C1114" i="5"/>
  <c r="D1113" i="5"/>
  <c r="C1113" i="5"/>
  <c r="D1112" i="5"/>
  <c r="C1112" i="5"/>
  <c r="D1111" i="5"/>
  <c r="C1111" i="5"/>
  <c r="D1110" i="5"/>
  <c r="C1110" i="5"/>
  <c r="D1109" i="5"/>
  <c r="C1109" i="5"/>
  <c r="D1108" i="5"/>
  <c r="C1108" i="5"/>
  <c r="D1107" i="5"/>
  <c r="C1107" i="5"/>
  <c r="D1106" i="5"/>
  <c r="C1106" i="5"/>
  <c r="D1105" i="5"/>
  <c r="C1105" i="5"/>
  <c r="D1104" i="5"/>
  <c r="C1104" i="5"/>
  <c r="D1103" i="5"/>
  <c r="C1103" i="5"/>
  <c r="D1102" i="5"/>
  <c r="C1102" i="5"/>
  <c r="D1101" i="5"/>
  <c r="C1101" i="5"/>
  <c r="D1100" i="5"/>
  <c r="C1100" i="5"/>
  <c r="D1099" i="5"/>
  <c r="C1099" i="5"/>
  <c r="D1098" i="5"/>
  <c r="C1098" i="5"/>
  <c r="D1097" i="5"/>
  <c r="C1097" i="5"/>
  <c r="D1096" i="5"/>
  <c r="C1096" i="5"/>
  <c r="D1095" i="5"/>
  <c r="C1095" i="5"/>
  <c r="D1094" i="5"/>
  <c r="C1094" i="5"/>
  <c r="D1093" i="5"/>
  <c r="C1093" i="5"/>
  <c r="D1092" i="5"/>
  <c r="C1092" i="5"/>
  <c r="D1091" i="5"/>
  <c r="C1091" i="5"/>
  <c r="D1090" i="5"/>
  <c r="C1090" i="5"/>
  <c r="D1089" i="5"/>
  <c r="C1089" i="5"/>
  <c r="D1088" i="5"/>
  <c r="C1088" i="5"/>
  <c r="D1087" i="5"/>
  <c r="C1087" i="5"/>
  <c r="D1086" i="5"/>
  <c r="C1086" i="5"/>
  <c r="D1085" i="5"/>
  <c r="C1085" i="5"/>
  <c r="D1084" i="5"/>
  <c r="C1084" i="5"/>
  <c r="D1083" i="5"/>
  <c r="C1083" i="5"/>
  <c r="D1082" i="5"/>
  <c r="C1082" i="5"/>
  <c r="D1081" i="5"/>
  <c r="C1081" i="5"/>
  <c r="D1080" i="5"/>
  <c r="C1080" i="5"/>
  <c r="D1079" i="5"/>
  <c r="C1079" i="5"/>
  <c r="D1078" i="5"/>
  <c r="C1078" i="5"/>
  <c r="D1077" i="5"/>
  <c r="C1077" i="5"/>
  <c r="D1076" i="5"/>
  <c r="C1076" i="5"/>
  <c r="D1075" i="5"/>
  <c r="C1075" i="5"/>
  <c r="D1074" i="5"/>
  <c r="C1074" i="5"/>
  <c r="D1073" i="5"/>
  <c r="C1073" i="5"/>
  <c r="D1072" i="5"/>
  <c r="C1072" i="5"/>
  <c r="D1071" i="5"/>
  <c r="C1071" i="5"/>
  <c r="D1070" i="5"/>
  <c r="C1070" i="5"/>
  <c r="D1069" i="5"/>
  <c r="C1069" i="5"/>
  <c r="D1068" i="5"/>
  <c r="C1068" i="5"/>
  <c r="D1067" i="5"/>
  <c r="C1067" i="5"/>
  <c r="D1066" i="5"/>
  <c r="C1066" i="5"/>
  <c r="D1065" i="5"/>
  <c r="C1065" i="5"/>
  <c r="D1064" i="5"/>
  <c r="C1064" i="5"/>
  <c r="D1063" i="5"/>
  <c r="C1063" i="5"/>
  <c r="D1062" i="5"/>
  <c r="C1062" i="5"/>
  <c r="D1061" i="5"/>
  <c r="C1061" i="5"/>
  <c r="D1060" i="5"/>
  <c r="C1060" i="5"/>
  <c r="D1059" i="5"/>
  <c r="C1059" i="5"/>
  <c r="D1058" i="5"/>
  <c r="C1058" i="5"/>
  <c r="D1057" i="5"/>
  <c r="C1057" i="5"/>
  <c r="D1056" i="5"/>
  <c r="C1056" i="5"/>
  <c r="D1055" i="5"/>
  <c r="C1055" i="5"/>
  <c r="D1054" i="5"/>
  <c r="C1054" i="5"/>
  <c r="D1053" i="5"/>
  <c r="C1053" i="5"/>
  <c r="D1052" i="5"/>
  <c r="C1052" i="5"/>
  <c r="D1051" i="5"/>
  <c r="C1051" i="5"/>
  <c r="D1050" i="5"/>
  <c r="C1050" i="5"/>
  <c r="D1049" i="5"/>
  <c r="C1049" i="5"/>
  <c r="D1048" i="5"/>
  <c r="C1048" i="5"/>
  <c r="D1047" i="5"/>
  <c r="C1047" i="5"/>
  <c r="D1046" i="5"/>
  <c r="C1046" i="5"/>
  <c r="D1045" i="5"/>
  <c r="C1045" i="5"/>
  <c r="D1044" i="5"/>
  <c r="C1044" i="5"/>
  <c r="D1043" i="5"/>
  <c r="C1043" i="5"/>
  <c r="D1042" i="5"/>
  <c r="C1042" i="5"/>
  <c r="D1041" i="5"/>
  <c r="C1041" i="5"/>
  <c r="D1040" i="5"/>
  <c r="C1040" i="5"/>
  <c r="D1039" i="5"/>
  <c r="C1039" i="5"/>
  <c r="D1038" i="5"/>
  <c r="C1038" i="5"/>
  <c r="D1037" i="5"/>
  <c r="C1037" i="5"/>
  <c r="D1036" i="5"/>
  <c r="C1036" i="5"/>
  <c r="D1035" i="5"/>
  <c r="C1035" i="5"/>
  <c r="D1034" i="5"/>
  <c r="C1034" i="5"/>
  <c r="D1033" i="5"/>
  <c r="C1033" i="5"/>
  <c r="D1032" i="5"/>
  <c r="C1032" i="5"/>
  <c r="D1031" i="5"/>
  <c r="C1031" i="5"/>
  <c r="D1030" i="5"/>
  <c r="C1030" i="5"/>
  <c r="D1029" i="5"/>
  <c r="C1029" i="5"/>
  <c r="D1028" i="5"/>
  <c r="C1028" i="5"/>
  <c r="D1027" i="5"/>
  <c r="C1027" i="5"/>
  <c r="D1026" i="5"/>
  <c r="C1026" i="5"/>
  <c r="D1025" i="5"/>
  <c r="C1025" i="5"/>
  <c r="D1024" i="5"/>
  <c r="C1024" i="5"/>
  <c r="D1023" i="5"/>
  <c r="C1023" i="5"/>
  <c r="D1022" i="5"/>
  <c r="C1022" i="5"/>
  <c r="D1021" i="5"/>
  <c r="C1021" i="5"/>
  <c r="D1020" i="5"/>
  <c r="C1020" i="5"/>
  <c r="D1019" i="5"/>
  <c r="C1019" i="5"/>
  <c r="D1018" i="5"/>
  <c r="C1018" i="5"/>
  <c r="D1017" i="5"/>
  <c r="C1017" i="5"/>
  <c r="D1016" i="5"/>
  <c r="C1016" i="5"/>
  <c r="D1015" i="5"/>
  <c r="C1015" i="5"/>
  <c r="D1014" i="5"/>
  <c r="C1014" i="5"/>
  <c r="D1013" i="5"/>
  <c r="C1013" i="5"/>
  <c r="D1012" i="5"/>
  <c r="C1012" i="5"/>
  <c r="D1011" i="5"/>
  <c r="C1011" i="5"/>
  <c r="D1010" i="5"/>
  <c r="C1010" i="5"/>
  <c r="D1009" i="5"/>
  <c r="C1009" i="5"/>
  <c r="D1008" i="5"/>
  <c r="C1008" i="5"/>
  <c r="D1007" i="5"/>
  <c r="C1007" i="5"/>
  <c r="D1006" i="5"/>
  <c r="C1006" i="5"/>
  <c r="D1005" i="5"/>
  <c r="C1005" i="5"/>
  <c r="D1004" i="5"/>
  <c r="C1004" i="5"/>
  <c r="D1003" i="5"/>
  <c r="C1003" i="5"/>
  <c r="D1002" i="5"/>
  <c r="C1002" i="5"/>
  <c r="D1001" i="5"/>
  <c r="C1001" i="5"/>
  <c r="D1000" i="5"/>
  <c r="C1000" i="5"/>
  <c r="D999" i="5"/>
  <c r="C999" i="5"/>
  <c r="D998" i="5"/>
  <c r="C998" i="5"/>
  <c r="D997" i="5"/>
  <c r="C997" i="5"/>
  <c r="D996" i="5"/>
  <c r="C996" i="5"/>
  <c r="D995" i="5"/>
  <c r="C995" i="5"/>
  <c r="D994" i="5"/>
  <c r="C994" i="5"/>
  <c r="D993" i="5"/>
  <c r="C993" i="5"/>
  <c r="D992" i="5"/>
  <c r="C992" i="5"/>
  <c r="D991" i="5"/>
  <c r="C991" i="5"/>
  <c r="D990" i="5"/>
  <c r="C990" i="5"/>
  <c r="D989" i="5"/>
  <c r="C989" i="5"/>
  <c r="D988" i="5"/>
  <c r="C988" i="5"/>
  <c r="D987" i="5"/>
  <c r="C987" i="5"/>
  <c r="D986" i="5"/>
  <c r="C986" i="5"/>
  <c r="D985" i="5"/>
  <c r="C985" i="5"/>
  <c r="D984" i="5"/>
  <c r="C984" i="5"/>
  <c r="D983" i="5"/>
  <c r="C983" i="5"/>
  <c r="D982" i="5"/>
  <c r="C982" i="5"/>
  <c r="D981" i="5"/>
  <c r="C981" i="5"/>
  <c r="D980" i="5"/>
  <c r="C980" i="5"/>
  <c r="D979" i="5"/>
  <c r="C979" i="5"/>
  <c r="D978" i="5"/>
  <c r="C978" i="5"/>
  <c r="D977" i="5"/>
  <c r="C977" i="5"/>
  <c r="D976" i="5"/>
  <c r="C976" i="5"/>
  <c r="D975" i="5"/>
  <c r="C975" i="5"/>
  <c r="D974" i="5"/>
  <c r="C974" i="5"/>
  <c r="D973" i="5"/>
  <c r="C973" i="5"/>
  <c r="D972" i="5"/>
  <c r="C972" i="5"/>
  <c r="D971" i="5"/>
  <c r="C971" i="5"/>
  <c r="D970" i="5"/>
  <c r="C970" i="5"/>
  <c r="D969" i="5"/>
  <c r="C969" i="5"/>
  <c r="D968" i="5"/>
  <c r="C968" i="5"/>
  <c r="D967" i="5"/>
  <c r="C967" i="5"/>
  <c r="D966" i="5"/>
  <c r="C966" i="5"/>
  <c r="D965" i="5"/>
  <c r="C965" i="5"/>
  <c r="D964" i="5"/>
  <c r="C964" i="5"/>
  <c r="D963" i="5"/>
  <c r="C963" i="5"/>
  <c r="D962" i="5"/>
  <c r="C962" i="5"/>
  <c r="D961" i="5"/>
  <c r="C961" i="5"/>
  <c r="D960" i="5"/>
  <c r="C960" i="5"/>
  <c r="D959" i="5"/>
  <c r="C959" i="5"/>
  <c r="D958" i="5"/>
  <c r="C958" i="5"/>
  <c r="D957" i="5"/>
  <c r="C957" i="5"/>
  <c r="D956" i="5"/>
  <c r="C956" i="5"/>
  <c r="D955" i="5"/>
  <c r="C955" i="5"/>
  <c r="D954" i="5"/>
  <c r="C954" i="5"/>
  <c r="D953" i="5"/>
  <c r="C953" i="5"/>
  <c r="D952" i="5"/>
  <c r="C952" i="5"/>
  <c r="D951" i="5"/>
  <c r="C951" i="5"/>
  <c r="D950" i="5"/>
  <c r="C950" i="5"/>
  <c r="D949" i="5"/>
  <c r="C949" i="5"/>
  <c r="D948" i="5"/>
  <c r="C948" i="5"/>
  <c r="D947" i="5"/>
  <c r="C947" i="5"/>
  <c r="D946" i="5"/>
  <c r="C946" i="5"/>
  <c r="D945" i="5"/>
  <c r="C945" i="5"/>
  <c r="D944" i="5"/>
  <c r="C944" i="5"/>
  <c r="D943" i="5"/>
  <c r="C943" i="5"/>
  <c r="D942" i="5"/>
  <c r="C942" i="5"/>
  <c r="D941" i="5"/>
  <c r="C941" i="5"/>
  <c r="D940" i="5"/>
  <c r="C940" i="5"/>
  <c r="D939" i="5"/>
  <c r="C939" i="5"/>
  <c r="D938" i="5"/>
  <c r="C938" i="5"/>
  <c r="D937" i="5"/>
  <c r="C937" i="5"/>
  <c r="D936" i="5"/>
  <c r="C936" i="5"/>
  <c r="D935" i="5"/>
  <c r="C935" i="5"/>
  <c r="D934" i="5"/>
  <c r="C934" i="5"/>
  <c r="D933" i="5"/>
  <c r="C933" i="5"/>
  <c r="D932" i="5"/>
  <c r="C932" i="5"/>
  <c r="D931" i="5"/>
  <c r="C931" i="5"/>
  <c r="D930" i="5"/>
  <c r="C930" i="5"/>
  <c r="D929" i="5"/>
  <c r="C929" i="5"/>
  <c r="D928" i="5"/>
  <c r="C928" i="5"/>
  <c r="D927" i="5"/>
  <c r="C927" i="5"/>
  <c r="D926" i="5"/>
  <c r="C926" i="5"/>
  <c r="D925" i="5"/>
  <c r="C925" i="5"/>
  <c r="D924" i="5"/>
  <c r="C924" i="5"/>
  <c r="D923" i="5"/>
  <c r="C923" i="5"/>
  <c r="D922" i="5"/>
  <c r="C922" i="5"/>
  <c r="D921" i="5"/>
  <c r="C921" i="5"/>
  <c r="D920" i="5"/>
  <c r="C920" i="5"/>
  <c r="D919" i="5"/>
  <c r="C919" i="5"/>
  <c r="D918" i="5"/>
  <c r="C918" i="5"/>
  <c r="D917" i="5"/>
  <c r="C917" i="5"/>
  <c r="D916" i="5"/>
  <c r="C916" i="5"/>
  <c r="D915" i="5"/>
  <c r="C915" i="5"/>
  <c r="D914" i="5"/>
  <c r="C914" i="5"/>
  <c r="D913" i="5"/>
  <c r="C913" i="5"/>
  <c r="D912" i="5"/>
  <c r="C912" i="5"/>
  <c r="D911" i="5"/>
  <c r="C911" i="5"/>
  <c r="D910" i="5"/>
  <c r="C910" i="5"/>
  <c r="D909" i="5"/>
  <c r="C909" i="5"/>
  <c r="D908" i="5"/>
  <c r="C908" i="5"/>
  <c r="D907" i="5"/>
  <c r="C907" i="5"/>
  <c r="D906" i="5"/>
  <c r="C906" i="5"/>
  <c r="D905" i="5"/>
  <c r="C905" i="5"/>
  <c r="D904" i="5"/>
  <c r="C904" i="5"/>
  <c r="D903" i="5"/>
  <c r="C903" i="5"/>
  <c r="D902" i="5"/>
  <c r="C902" i="5"/>
  <c r="D901" i="5"/>
  <c r="C901" i="5"/>
  <c r="D900" i="5"/>
  <c r="C900" i="5"/>
  <c r="D899" i="5"/>
  <c r="C899" i="5"/>
  <c r="D898" i="5"/>
  <c r="C898" i="5"/>
  <c r="D897" i="5"/>
  <c r="C897" i="5"/>
  <c r="D896" i="5"/>
  <c r="C896" i="5"/>
  <c r="D895" i="5"/>
  <c r="C895" i="5"/>
  <c r="D894" i="5"/>
  <c r="C894" i="5"/>
  <c r="D893" i="5"/>
  <c r="C893" i="5"/>
  <c r="D892" i="5"/>
  <c r="C892" i="5"/>
  <c r="D891" i="5"/>
  <c r="C891" i="5"/>
  <c r="D890" i="5"/>
  <c r="C890" i="5"/>
  <c r="D889" i="5"/>
  <c r="C889" i="5"/>
  <c r="D888" i="5"/>
  <c r="C888" i="5"/>
  <c r="D887" i="5"/>
  <c r="C887" i="5"/>
  <c r="D886" i="5"/>
  <c r="C886" i="5"/>
  <c r="D885" i="5"/>
  <c r="C885" i="5"/>
  <c r="D884" i="5"/>
  <c r="C884" i="5"/>
  <c r="D883" i="5"/>
  <c r="C883" i="5"/>
  <c r="D882" i="5"/>
  <c r="C882" i="5"/>
  <c r="D881" i="5"/>
  <c r="C881" i="5"/>
  <c r="D880" i="5"/>
  <c r="C880" i="5"/>
  <c r="D879" i="5"/>
  <c r="C879" i="5"/>
  <c r="D878" i="5"/>
  <c r="C878" i="5"/>
  <c r="D877" i="5"/>
  <c r="C877" i="5"/>
  <c r="D876" i="5"/>
  <c r="C876" i="5"/>
  <c r="D875" i="5"/>
  <c r="C875" i="5"/>
  <c r="D874" i="5"/>
  <c r="C874" i="5"/>
  <c r="D873" i="5"/>
  <c r="C873" i="5"/>
  <c r="D872" i="5"/>
  <c r="C872" i="5"/>
  <c r="D871" i="5"/>
  <c r="C871" i="5"/>
  <c r="D870" i="5"/>
  <c r="C870" i="5"/>
  <c r="D869" i="5"/>
  <c r="C869" i="5"/>
  <c r="D868" i="5"/>
  <c r="C868" i="5"/>
  <c r="D867" i="5"/>
  <c r="C867" i="5"/>
  <c r="D866" i="5"/>
  <c r="C866" i="5"/>
  <c r="D865" i="5"/>
  <c r="C865" i="5"/>
  <c r="D864" i="5"/>
  <c r="C864" i="5"/>
  <c r="D863" i="5"/>
  <c r="C863" i="5"/>
  <c r="D862" i="5"/>
  <c r="C862" i="5"/>
  <c r="D861" i="5"/>
  <c r="C861" i="5"/>
  <c r="D860" i="5"/>
  <c r="C860" i="5"/>
  <c r="D859" i="5"/>
  <c r="C859" i="5"/>
  <c r="D858" i="5"/>
  <c r="C858" i="5"/>
  <c r="D857" i="5"/>
  <c r="C857" i="5"/>
  <c r="D856" i="5"/>
  <c r="C856" i="5"/>
  <c r="D855" i="5"/>
  <c r="C855" i="5"/>
  <c r="D854" i="5"/>
  <c r="C854" i="5"/>
  <c r="D853" i="5"/>
  <c r="C853" i="5"/>
  <c r="D852" i="5"/>
  <c r="C852" i="5"/>
  <c r="D851" i="5"/>
  <c r="C851" i="5"/>
  <c r="D850" i="5"/>
  <c r="C850" i="5"/>
  <c r="D849" i="5"/>
  <c r="C849" i="5"/>
  <c r="D848" i="5"/>
  <c r="C848" i="5"/>
  <c r="D847" i="5"/>
  <c r="C847" i="5"/>
  <c r="D846" i="5"/>
  <c r="C846" i="5"/>
  <c r="D845" i="5"/>
  <c r="C845" i="5"/>
  <c r="D844" i="5"/>
  <c r="C844" i="5"/>
  <c r="D843" i="5"/>
  <c r="C843" i="5"/>
  <c r="D842" i="5"/>
  <c r="C842" i="5"/>
  <c r="D841" i="5"/>
  <c r="C841" i="5"/>
  <c r="D840" i="5"/>
  <c r="C840" i="5"/>
  <c r="D839" i="5"/>
  <c r="C839" i="5"/>
  <c r="D838" i="5"/>
  <c r="C838" i="5"/>
  <c r="D837" i="5"/>
  <c r="C837" i="5"/>
  <c r="D836" i="5"/>
  <c r="C836" i="5"/>
  <c r="D835" i="5"/>
  <c r="C835" i="5"/>
  <c r="D834" i="5"/>
  <c r="C834" i="5"/>
  <c r="D833" i="5"/>
  <c r="C833" i="5"/>
  <c r="D832" i="5"/>
  <c r="C832" i="5"/>
  <c r="D831" i="5"/>
  <c r="C831" i="5"/>
  <c r="D830" i="5"/>
  <c r="C830" i="5"/>
  <c r="D829" i="5"/>
  <c r="C829" i="5"/>
  <c r="D828" i="5"/>
  <c r="C828" i="5"/>
  <c r="D827" i="5"/>
  <c r="C827" i="5"/>
  <c r="D826" i="5"/>
  <c r="C826" i="5"/>
  <c r="D825" i="5"/>
  <c r="C825" i="5"/>
  <c r="D824" i="5"/>
  <c r="C824" i="5"/>
  <c r="D823" i="5"/>
  <c r="C823" i="5"/>
  <c r="D822" i="5"/>
  <c r="C822" i="5"/>
  <c r="D821" i="5"/>
  <c r="C821" i="5"/>
  <c r="D820" i="5"/>
  <c r="C820" i="5"/>
  <c r="D819" i="5"/>
  <c r="C819" i="5"/>
  <c r="D818" i="5"/>
  <c r="C818" i="5"/>
  <c r="D817" i="5"/>
  <c r="C817" i="5"/>
  <c r="D816" i="5"/>
  <c r="C816" i="5"/>
  <c r="D815" i="5"/>
  <c r="C815" i="5"/>
  <c r="D814" i="5"/>
  <c r="C814" i="5"/>
  <c r="D813" i="5"/>
  <c r="C813" i="5"/>
  <c r="D812" i="5"/>
  <c r="C812" i="5"/>
  <c r="D811" i="5"/>
  <c r="C811" i="5"/>
  <c r="D810" i="5"/>
  <c r="C810" i="5"/>
  <c r="D809" i="5"/>
  <c r="C809" i="5"/>
  <c r="D808" i="5"/>
  <c r="C808" i="5"/>
  <c r="D807" i="5"/>
  <c r="C807" i="5"/>
  <c r="D806" i="5"/>
  <c r="C806" i="5"/>
  <c r="D805" i="5"/>
  <c r="C805" i="5"/>
  <c r="D804" i="5"/>
  <c r="C804" i="5"/>
  <c r="D803" i="5"/>
  <c r="C803" i="5"/>
  <c r="D802" i="5"/>
  <c r="C802" i="5"/>
  <c r="D801" i="5"/>
  <c r="C801" i="5"/>
  <c r="D800" i="5"/>
  <c r="C800" i="5"/>
  <c r="D799" i="5"/>
  <c r="C799" i="5"/>
  <c r="D798" i="5"/>
  <c r="C798" i="5"/>
  <c r="D797" i="5"/>
  <c r="C797" i="5"/>
  <c r="D796" i="5"/>
  <c r="C796" i="5"/>
  <c r="D795" i="5"/>
  <c r="C795" i="5"/>
  <c r="D794" i="5"/>
  <c r="C794" i="5"/>
  <c r="D793" i="5"/>
  <c r="C793" i="5"/>
  <c r="D792" i="5"/>
  <c r="C792" i="5"/>
  <c r="D791" i="5"/>
  <c r="C791" i="5"/>
  <c r="D790" i="5"/>
  <c r="C790" i="5"/>
  <c r="D789" i="5"/>
  <c r="C789" i="5"/>
  <c r="D788" i="5"/>
  <c r="C788" i="5"/>
  <c r="D787" i="5"/>
  <c r="C787" i="5"/>
  <c r="D786" i="5"/>
  <c r="C786" i="5"/>
  <c r="D785" i="5"/>
  <c r="C785" i="5"/>
  <c r="D784" i="5"/>
  <c r="C784" i="5"/>
  <c r="D783" i="5"/>
  <c r="C783" i="5"/>
  <c r="D782" i="5"/>
  <c r="C782" i="5"/>
  <c r="D781" i="5"/>
  <c r="C781" i="5"/>
  <c r="D780" i="5"/>
  <c r="C780" i="5"/>
  <c r="D779" i="5"/>
  <c r="C779" i="5"/>
  <c r="D778" i="5"/>
  <c r="C778" i="5"/>
  <c r="D777" i="5"/>
  <c r="C777" i="5"/>
  <c r="D776" i="5"/>
  <c r="C776" i="5"/>
  <c r="D775" i="5"/>
  <c r="C775" i="5"/>
  <c r="D774" i="5"/>
  <c r="C774" i="5"/>
  <c r="D773" i="5"/>
  <c r="C773" i="5"/>
  <c r="D772" i="5"/>
  <c r="C772" i="5"/>
  <c r="D771" i="5"/>
  <c r="C771" i="5"/>
  <c r="D770" i="5"/>
  <c r="C770" i="5"/>
  <c r="D769" i="5"/>
  <c r="C769" i="5"/>
  <c r="D768" i="5"/>
  <c r="C768" i="5"/>
  <c r="D767" i="5"/>
  <c r="C767" i="5"/>
  <c r="D766" i="5"/>
  <c r="C766" i="5"/>
  <c r="D765" i="5"/>
  <c r="C765" i="5"/>
  <c r="D764" i="5"/>
  <c r="C764" i="5"/>
  <c r="D763" i="5"/>
  <c r="C763" i="5"/>
  <c r="D762" i="5"/>
  <c r="C762" i="5"/>
  <c r="D761" i="5"/>
  <c r="C761" i="5"/>
  <c r="D760" i="5"/>
  <c r="C760" i="5"/>
  <c r="D759" i="5"/>
  <c r="C759" i="5"/>
  <c r="D758" i="5"/>
  <c r="C758" i="5"/>
  <c r="D757" i="5"/>
  <c r="C757" i="5"/>
  <c r="D756" i="5"/>
  <c r="C756" i="5"/>
  <c r="D755" i="5"/>
  <c r="C755" i="5"/>
  <c r="D754" i="5"/>
  <c r="C754" i="5"/>
  <c r="D753" i="5"/>
  <c r="C753" i="5"/>
  <c r="D752" i="5"/>
  <c r="C752" i="5"/>
  <c r="D751" i="5"/>
  <c r="C751" i="5"/>
  <c r="D750" i="5"/>
  <c r="C750" i="5"/>
  <c r="D749" i="5"/>
  <c r="C749" i="5"/>
  <c r="D748" i="5"/>
  <c r="C748" i="5"/>
  <c r="D747" i="5"/>
  <c r="C747" i="5"/>
  <c r="D746" i="5"/>
  <c r="C746" i="5"/>
  <c r="D745" i="5"/>
  <c r="C745" i="5"/>
  <c r="D744" i="5"/>
  <c r="C744" i="5"/>
  <c r="D743" i="5"/>
  <c r="C743" i="5"/>
  <c r="D742" i="5"/>
  <c r="C742" i="5"/>
  <c r="D741" i="5"/>
  <c r="C741" i="5"/>
  <c r="D740" i="5"/>
  <c r="C740" i="5"/>
  <c r="D739" i="5"/>
  <c r="C739" i="5"/>
  <c r="D738" i="5"/>
  <c r="C738" i="5"/>
  <c r="D737" i="5"/>
  <c r="C737" i="5"/>
  <c r="D736" i="5"/>
  <c r="C736" i="5"/>
  <c r="D735" i="5"/>
  <c r="C735" i="5"/>
  <c r="D734" i="5"/>
  <c r="C734" i="5"/>
  <c r="D733" i="5"/>
  <c r="C733" i="5"/>
  <c r="D732" i="5"/>
  <c r="C732" i="5"/>
  <c r="D731" i="5"/>
  <c r="C731" i="5"/>
  <c r="D730" i="5"/>
  <c r="C730" i="5"/>
  <c r="D729" i="5"/>
  <c r="C729" i="5"/>
  <c r="D728" i="5"/>
  <c r="C728" i="5"/>
  <c r="D727" i="5"/>
  <c r="C727" i="5"/>
  <c r="D726" i="5"/>
  <c r="C726" i="5"/>
  <c r="D725" i="5"/>
  <c r="C725" i="5"/>
  <c r="D724" i="5"/>
  <c r="C724" i="5"/>
  <c r="D723" i="5"/>
  <c r="C723" i="5"/>
  <c r="D722" i="5"/>
  <c r="C722" i="5"/>
  <c r="D721" i="5"/>
  <c r="C721" i="5"/>
  <c r="D720" i="5"/>
  <c r="C720" i="5"/>
  <c r="D719" i="5"/>
  <c r="C719" i="5"/>
  <c r="D718" i="5"/>
  <c r="C718" i="5"/>
  <c r="D717" i="5"/>
  <c r="C717" i="5"/>
  <c r="D716" i="5"/>
  <c r="C716" i="5"/>
  <c r="D715" i="5"/>
  <c r="C715" i="5"/>
  <c r="D714" i="5"/>
  <c r="C714" i="5"/>
  <c r="D713" i="5"/>
  <c r="C713" i="5"/>
  <c r="D712" i="5"/>
  <c r="C712" i="5"/>
  <c r="D711" i="5"/>
  <c r="C711" i="5"/>
  <c r="D710" i="5"/>
  <c r="C710" i="5"/>
  <c r="D709" i="5"/>
  <c r="C709" i="5"/>
  <c r="D708" i="5"/>
  <c r="C708" i="5"/>
  <c r="D707" i="5"/>
  <c r="C707" i="5"/>
  <c r="D706" i="5"/>
  <c r="C706" i="5"/>
  <c r="D705" i="5"/>
  <c r="C705" i="5"/>
  <c r="D704" i="5"/>
  <c r="C704" i="5"/>
  <c r="D703" i="5"/>
  <c r="C703" i="5"/>
  <c r="D702" i="5"/>
  <c r="C702" i="5"/>
  <c r="D701" i="5"/>
  <c r="C701" i="5"/>
  <c r="D700" i="5"/>
  <c r="C700" i="5"/>
  <c r="D699" i="5"/>
  <c r="C699" i="5"/>
  <c r="D698" i="5"/>
  <c r="C698" i="5"/>
  <c r="D697" i="5"/>
  <c r="C697" i="5"/>
  <c r="D696" i="5"/>
  <c r="C696" i="5"/>
  <c r="D695" i="5"/>
  <c r="C695" i="5"/>
  <c r="D694" i="5"/>
  <c r="C694" i="5"/>
  <c r="D693" i="5"/>
  <c r="C693" i="5"/>
  <c r="D692" i="5"/>
  <c r="C692" i="5"/>
  <c r="D691" i="5"/>
  <c r="C691" i="5"/>
  <c r="D690" i="5"/>
  <c r="C690" i="5"/>
  <c r="D689" i="5"/>
  <c r="C689" i="5"/>
  <c r="D688" i="5"/>
  <c r="C688" i="5"/>
  <c r="D687" i="5"/>
  <c r="C687" i="5"/>
  <c r="D686" i="5"/>
  <c r="C686" i="5"/>
  <c r="D685" i="5"/>
  <c r="C685" i="5"/>
  <c r="D684" i="5"/>
  <c r="C684" i="5"/>
  <c r="D683" i="5"/>
  <c r="C683" i="5"/>
  <c r="D682" i="5"/>
  <c r="C682" i="5"/>
  <c r="D681" i="5"/>
  <c r="C681" i="5"/>
  <c r="D680" i="5"/>
  <c r="C680" i="5"/>
  <c r="D679" i="5"/>
  <c r="C679" i="5"/>
  <c r="D678" i="5"/>
  <c r="C678" i="5"/>
  <c r="D677" i="5"/>
  <c r="C677" i="5"/>
  <c r="D676" i="5"/>
  <c r="C676" i="5"/>
  <c r="D675" i="5"/>
  <c r="C675" i="5"/>
  <c r="D674" i="5"/>
  <c r="C674" i="5"/>
  <c r="D673" i="5"/>
  <c r="C673" i="5"/>
  <c r="D672" i="5"/>
  <c r="C672" i="5"/>
  <c r="D671" i="5"/>
  <c r="C671" i="5"/>
  <c r="D670" i="5"/>
  <c r="C670" i="5"/>
  <c r="D669" i="5"/>
  <c r="C669" i="5"/>
  <c r="D668" i="5"/>
  <c r="C668" i="5"/>
  <c r="D667" i="5"/>
  <c r="C667" i="5"/>
  <c r="D666" i="5"/>
  <c r="C666" i="5"/>
  <c r="D665" i="5"/>
  <c r="C665" i="5"/>
  <c r="D664" i="5"/>
  <c r="C664" i="5"/>
  <c r="D663" i="5"/>
  <c r="C663" i="5"/>
  <c r="D662" i="5"/>
  <c r="C662" i="5"/>
  <c r="D661" i="5"/>
  <c r="C661" i="5"/>
  <c r="D660" i="5"/>
  <c r="C660" i="5"/>
  <c r="D659" i="5"/>
  <c r="C659" i="5"/>
  <c r="D658" i="5"/>
  <c r="C658" i="5"/>
  <c r="D657" i="5"/>
  <c r="C657" i="5"/>
  <c r="D656" i="5"/>
  <c r="C656" i="5"/>
  <c r="D655" i="5"/>
  <c r="C655" i="5"/>
  <c r="D654" i="5"/>
  <c r="C654" i="5"/>
  <c r="D653" i="5"/>
  <c r="C653" i="5"/>
  <c r="D652" i="5"/>
  <c r="C652" i="5"/>
  <c r="D651" i="5"/>
  <c r="C651" i="5"/>
  <c r="D650" i="5"/>
  <c r="C650" i="5"/>
  <c r="D649" i="5"/>
  <c r="C649" i="5"/>
  <c r="D648" i="5"/>
  <c r="C648" i="5"/>
  <c r="D647" i="5"/>
  <c r="C647" i="5"/>
  <c r="D646" i="5"/>
  <c r="C646" i="5"/>
  <c r="D645" i="5"/>
  <c r="C645" i="5"/>
  <c r="D644" i="5"/>
  <c r="C644" i="5"/>
  <c r="D643" i="5"/>
  <c r="C643" i="5"/>
  <c r="D642" i="5"/>
  <c r="C642" i="5"/>
  <c r="D641" i="5"/>
  <c r="C641" i="5"/>
  <c r="D640" i="5"/>
  <c r="C640" i="5"/>
  <c r="D639" i="5"/>
  <c r="C639" i="5"/>
  <c r="D638" i="5"/>
  <c r="C638" i="5"/>
  <c r="D637" i="5"/>
  <c r="C637" i="5"/>
  <c r="D636" i="5"/>
  <c r="C636" i="5"/>
  <c r="D635" i="5"/>
  <c r="C635" i="5"/>
  <c r="D634" i="5"/>
  <c r="C634" i="5"/>
  <c r="D633" i="5"/>
  <c r="C633" i="5"/>
  <c r="D632" i="5"/>
  <c r="C632" i="5"/>
  <c r="D631" i="5"/>
  <c r="C631" i="5"/>
  <c r="D630" i="5"/>
  <c r="C630" i="5"/>
  <c r="D629" i="5"/>
  <c r="C629" i="5"/>
  <c r="D628" i="5"/>
  <c r="C628" i="5"/>
  <c r="D627" i="5"/>
  <c r="C627" i="5"/>
  <c r="D626" i="5"/>
  <c r="C626" i="5"/>
  <c r="D625" i="5"/>
  <c r="C625" i="5"/>
  <c r="D624" i="5"/>
  <c r="C624" i="5"/>
  <c r="D623" i="5"/>
  <c r="C623" i="5"/>
  <c r="D622" i="5"/>
  <c r="C622" i="5"/>
  <c r="D621" i="5"/>
  <c r="C621" i="5"/>
  <c r="D620" i="5"/>
  <c r="C620" i="5"/>
  <c r="D619" i="5"/>
  <c r="C619" i="5"/>
  <c r="D618" i="5"/>
  <c r="C618" i="5"/>
  <c r="D617" i="5"/>
  <c r="C617" i="5"/>
  <c r="D616" i="5"/>
  <c r="C616" i="5"/>
  <c r="D615" i="5"/>
  <c r="C615" i="5"/>
  <c r="D614" i="5"/>
  <c r="C614" i="5"/>
  <c r="D613" i="5"/>
  <c r="C613" i="5"/>
  <c r="D612" i="5"/>
  <c r="C612" i="5"/>
  <c r="D611" i="5"/>
  <c r="C611" i="5"/>
  <c r="D610" i="5"/>
  <c r="C610" i="5"/>
  <c r="D609" i="5"/>
  <c r="C609" i="5"/>
  <c r="D608" i="5"/>
  <c r="C608" i="5"/>
  <c r="D607" i="5"/>
  <c r="C607" i="5"/>
  <c r="D606" i="5"/>
  <c r="C606" i="5"/>
  <c r="D605" i="5"/>
  <c r="C605" i="5"/>
  <c r="D604" i="5"/>
  <c r="C604" i="5"/>
  <c r="D603" i="5"/>
  <c r="C603" i="5"/>
  <c r="D602" i="5"/>
  <c r="C602" i="5"/>
  <c r="D601" i="5"/>
  <c r="C601" i="5"/>
  <c r="D600" i="5"/>
  <c r="C600" i="5"/>
  <c r="D599" i="5"/>
  <c r="C599" i="5"/>
  <c r="D598" i="5"/>
  <c r="C598" i="5"/>
  <c r="D597" i="5"/>
  <c r="C597" i="5"/>
  <c r="D596" i="5"/>
  <c r="C596" i="5"/>
  <c r="D595" i="5"/>
  <c r="C595" i="5"/>
  <c r="D594" i="5"/>
  <c r="C594" i="5"/>
  <c r="D593" i="5"/>
  <c r="C593" i="5"/>
  <c r="D592" i="5"/>
  <c r="C592" i="5"/>
  <c r="D591" i="5"/>
  <c r="C591" i="5"/>
  <c r="D590" i="5"/>
  <c r="C590" i="5"/>
  <c r="D589" i="5"/>
  <c r="C589" i="5"/>
  <c r="D588" i="5"/>
  <c r="C588" i="5"/>
  <c r="D587" i="5"/>
  <c r="C587" i="5"/>
  <c r="D586" i="5"/>
  <c r="C586" i="5"/>
  <c r="D585" i="5"/>
  <c r="C585" i="5"/>
  <c r="D584" i="5"/>
  <c r="C584" i="5"/>
  <c r="D583" i="5"/>
  <c r="C583" i="5"/>
  <c r="D582" i="5"/>
  <c r="C582" i="5"/>
  <c r="D581" i="5"/>
  <c r="C581" i="5"/>
  <c r="D580" i="5"/>
  <c r="C580" i="5"/>
  <c r="D579" i="5"/>
  <c r="C579" i="5"/>
  <c r="D578" i="5"/>
  <c r="C578" i="5"/>
  <c r="D577" i="5"/>
  <c r="C577" i="5"/>
  <c r="D576" i="5"/>
  <c r="C576" i="5"/>
  <c r="D575" i="5"/>
  <c r="C575" i="5"/>
  <c r="D574" i="5"/>
  <c r="C574" i="5"/>
  <c r="D573" i="5"/>
  <c r="C573" i="5"/>
  <c r="D572" i="5"/>
  <c r="C572" i="5"/>
  <c r="D571" i="5"/>
  <c r="C571" i="5"/>
  <c r="D570" i="5"/>
  <c r="C570" i="5"/>
  <c r="D569" i="5"/>
  <c r="C569" i="5"/>
  <c r="D568" i="5"/>
  <c r="C568" i="5"/>
  <c r="D567" i="5"/>
  <c r="C567" i="5"/>
  <c r="D566" i="5"/>
  <c r="C566" i="5"/>
  <c r="D565" i="5"/>
  <c r="C565" i="5"/>
  <c r="D564" i="5"/>
  <c r="C564" i="5"/>
  <c r="D563" i="5"/>
  <c r="C563" i="5"/>
  <c r="D562" i="5"/>
  <c r="C562" i="5"/>
  <c r="D561" i="5"/>
  <c r="C561" i="5"/>
  <c r="D560" i="5"/>
  <c r="C560" i="5"/>
  <c r="D559" i="5"/>
  <c r="C559" i="5"/>
  <c r="D558" i="5"/>
  <c r="C558" i="5"/>
  <c r="D557" i="5"/>
  <c r="C557" i="5"/>
  <c r="D556" i="5"/>
  <c r="C556" i="5"/>
  <c r="D555" i="5"/>
  <c r="C555" i="5"/>
  <c r="D554" i="5"/>
  <c r="C554" i="5"/>
  <c r="D553" i="5"/>
  <c r="C553" i="5"/>
  <c r="D552" i="5"/>
  <c r="C552" i="5"/>
  <c r="D551" i="5"/>
  <c r="C551" i="5"/>
  <c r="D550" i="5"/>
  <c r="C550" i="5"/>
  <c r="D549" i="5"/>
  <c r="C549" i="5"/>
  <c r="D548" i="5"/>
  <c r="C548" i="5"/>
  <c r="D547" i="5"/>
  <c r="C547" i="5"/>
  <c r="D546" i="5"/>
  <c r="C546" i="5"/>
  <c r="D545" i="5"/>
  <c r="C545" i="5"/>
  <c r="D544" i="5"/>
  <c r="C544" i="5"/>
  <c r="D543" i="5"/>
  <c r="C543" i="5"/>
  <c r="D542" i="5"/>
  <c r="C542" i="5"/>
  <c r="D541" i="5"/>
  <c r="C541" i="5"/>
  <c r="D540" i="5"/>
  <c r="C540" i="5"/>
  <c r="D539" i="5"/>
  <c r="C539" i="5"/>
  <c r="D538" i="5"/>
  <c r="C538" i="5"/>
  <c r="D537" i="5"/>
  <c r="C537" i="5"/>
  <c r="D536" i="5"/>
  <c r="C536" i="5"/>
  <c r="D535" i="5"/>
  <c r="C535" i="5"/>
  <c r="D534" i="5"/>
  <c r="C534" i="5"/>
  <c r="D533" i="5"/>
  <c r="C533" i="5"/>
  <c r="D532" i="5"/>
  <c r="C532" i="5"/>
  <c r="D531" i="5"/>
  <c r="C531" i="5"/>
  <c r="D530" i="5"/>
  <c r="C530" i="5"/>
  <c r="D529" i="5"/>
  <c r="C529" i="5"/>
  <c r="D528" i="5"/>
  <c r="C528" i="5"/>
  <c r="D527" i="5"/>
  <c r="C527" i="5"/>
  <c r="D526" i="5"/>
  <c r="C526" i="5"/>
  <c r="D525" i="5"/>
  <c r="C525" i="5"/>
  <c r="D524" i="5"/>
  <c r="C524" i="5"/>
  <c r="D523" i="5"/>
  <c r="C523" i="5"/>
  <c r="D522" i="5"/>
  <c r="C522" i="5"/>
  <c r="D521" i="5"/>
  <c r="C521" i="5"/>
  <c r="D520" i="5"/>
  <c r="C520" i="5"/>
  <c r="D519" i="5"/>
  <c r="C519" i="5"/>
  <c r="D518" i="5"/>
  <c r="C518" i="5"/>
  <c r="D517" i="5"/>
  <c r="C517" i="5"/>
  <c r="D516" i="5"/>
  <c r="C516" i="5"/>
  <c r="D515" i="5"/>
  <c r="C515" i="5"/>
  <c r="D514" i="5"/>
  <c r="C514" i="5"/>
  <c r="D513" i="5"/>
  <c r="C513" i="5"/>
  <c r="D512" i="5"/>
  <c r="C512" i="5"/>
  <c r="D511" i="5"/>
  <c r="C511" i="5"/>
  <c r="D510" i="5"/>
  <c r="C510" i="5"/>
  <c r="D509" i="5"/>
  <c r="C509" i="5"/>
  <c r="D508" i="5"/>
  <c r="C508" i="5"/>
  <c r="D507" i="5"/>
  <c r="C507" i="5"/>
  <c r="D506" i="5"/>
  <c r="C506" i="5"/>
  <c r="D505" i="5"/>
  <c r="C505" i="5"/>
  <c r="D504" i="5"/>
  <c r="C504" i="5"/>
  <c r="D503" i="5"/>
  <c r="C503" i="5"/>
  <c r="D502" i="5"/>
  <c r="C502" i="5"/>
  <c r="D501" i="5"/>
  <c r="C501" i="5"/>
  <c r="D500" i="5"/>
  <c r="C500" i="5"/>
  <c r="D499" i="5"/>
  <c r="C499" i="5"/>
  <c r="D498" i="5"/>
  <c r="C498" i="5"/>
  <c r="D497" i="5"/>
  <c r="C497" i="5"/>
  <c r="D496" i="5"/>
  <c r="C496" i="5"/>
  <c r="D495" i="5"/>
  <c r="C495" i="5"/>
  <c r="D494" i="5"/>
  <c r="C494" i="5"/>
  <c r="D493" i="5"/>
  <c r="C493" i="5"/>
  <c r="D492" i="5"/>
  <c r="C492" i="5"/>
  <c r="D491" i="5"/>
  <c r="C491" i="5"/>
  <c r="D490" i="5"/>
  <c r="C490" i="5"/>
  <c r="D489" i="5"/>
  <c r="C489" i="5"/>
  <c r="D488" i="5"/>
  <c r="C488" i="5"/>
  <c r="D487" i="5"/>
  <c r="C487" i="5"/>
  <c r="D486" i="5"/>
  <c r="C486" i="5"/>
  <c r="D485" i="5"/>
  <c r="C485" i="5"/>
  <c r="D484" i="5"/>
  <c r="C484" i="5"/>
  <c r="D483" i="5"/>
  <c r="C483" i="5"/>
  <c r="D482" i="5"/>
  <c r="C482" i="5"/>
  <c r="D481" i="5"/>
  <c r="C481" i="5"/>
  <c r="D480" i="5"/>
  <c r="C480" i="5"/>
  <c r="D479" i="5"/>
  <c r="C479" i="5"/>
  <c r="D478" i="5"/>
  <c r="C478" i="5"/>
  <c r="D477" i="5"/>
  <c r="C477" i="5"/>
  <c r="D476" i="5"/>
  <c r="C476" i="5"/>
  <c r="D475" i="5"/>
  <c r="C475" i="5"/>
  <c r="D474" i="5"/>
  <c r="C474" i="5"/>
  <c r="D473" i="5"/>
  <c r="C473" i="5"/>
  <c r="D472" i="5"/>
  <c r="C472" i="5"/>
  <c r="D471" i="5"/>
  <c r="C471" i="5"/>
  <c r="D470" i="5"/>
  <c r="C470" i="5"/>
  <c r="D469" i="5"/>
  <c r="C469" i="5"/>
  <c r="D468" i="5"/>
  <c r="C468" i="5"/>
  <c r="D467" i="5"/>
  <c r="C467" i="5"/>
  <c r="D466" i="5"/>
  <c r="C466" i="5"/>
  <c r="D465" i="5"/>
  <c r="C465" i="5"/>
  <c r="D464" i="5"/>
  <c r="C464" i="5"/>
  <c r="D463" i="5"/>
  <c r="C463" i="5"/>
  <c r="D462" i="5"/>
  <c r="C462" i="5"/>
  <c r="D461" i="5"/>
  <c r="C461" i="5"/>
  <c r="D460" i="5"/>
  <c r="C460" i="5"/>
  <c r="D459" i="5"/>
  <c r="C459" i="5"/>
  <c r="D458" i="5"/>
  <c r="C458" i="5"/>
  <c r="D457" i="5"/>
  <c r="C457" i="5"/>
  <c r="D456" i="5"/>
  <c r="C456" i="5"/>
  <c r="D455" i="5"/>
  <c r="C455" i="5"/>
  <c r="D454" i="5"/>
  <c r="C454" i="5"/>
  <c r="D453" i="5"/>
  <c r="C453" i="5"/>
  <c r="D452" i="5"/>
  <c r="C452" i="5"/>
  <c r="D451" i="5"/>
  <c r="C451" i="5"/>
  <c r="D450" i="5"/>
  <c r="C450" i="5"/>
  <c r="D449" i="5"/>
  <c r="C449" i="5"/>
  <c r="D448" i="5"/>
  <c r="C448" i="5"/>
  <c r="D447" i="5"/>
  <c r="C447" i="5"/>
  <c r="D446" i="5"/>
  <c r="C446" i="5"/>
  <c r="D445" i="5"/>
  <c r="C445" i="5"/>
  <c r="D444" i="5"/>
  <c r="C444" i="5"/>
  <c r="D443" i="5"/>
  <c r="C443" i="5"/>
  <c r="D442" i="5"/>
  <c r="C442" i="5"/>
  <c r="D441" i="5"/>
  <c r="C441" i="5"/>
  <c r="D440" i="5"/>
  <c r="C440" i="5"/>
  <c r="D439" i="5"/>
  <c r="C439" i="5"/>
  <c r="D438" i="5"/>
  <c r="C438" i="5"/>
  <c r="D437" i="5"/>
  <c r="C437" i="5"/>
  <c r="D436" i="5"/>
  <c r="C436" i="5"/>
  <c r="D435" i="5"/>
  <c r="C435" i="5"/>
  <c r="D434" i="5"/>
  <c r="C434" i="5"/>
  <c r="D433" i="5"/>
  <c r="C433" i="5"/>
  <c r="D432" i="5"/>
  <c r="C432" i="5"/>
  <c r="D431" i="5"/>
  <c r="C431" i="5"/>
  <c r="D430" i="5"/>
  <c r="C430" i="5"/>
  <c r="D429" i="5"/>
  <c r="C429" i="5"/>
  <c r="D428" i="5"/>
  <c r="C428" i="5"/>
  <c r="D427" i="5"/>
  <c r="C427" i="5"/>
  <c r="D426" i="5"/>
  <c r="C426" i="5"/>
  <c r="D425" i="5"/>
  <c r="C425" i="5"/>
  <c r="D424" i="5"/>
  <c r="C424" i="5"/>
  <c r="D423" i="5"/>
  <c r="C423" i="5"/>
  <c r="D422" i="5"/>
  <c r="C422" i="5"/>
  <c r="D421" i="5"/>
  <c r="C421" i="5"/>
  <c r="D420" i="5"/>
  <c r="C420" i="5"/>
  <c r="D419" i="5"/>
  <c r="C419" i="5"/>
  <c r="D418" i="5"/>
  <c r="C418" i="5"/>
  <c r="D417" i="5"/>
  <c r="C417" i="5"/>
  <c r="D416" i="5"/>
  <c r="C416" i="5"/>
  <c r="D415" i="5"/>
  <c r="C415" i="5"/>
  <c r="D414" i="5"/>
  <c r="C414" i="5"/>
  <c r="D413" i="5"/>
  <c r="C413" i="5"/>
  <c r="D412" i="5"/>
  <c r="C412" i="5"/>
  <c r="D411" i="5"/>
  <c r="C411" i="5"/>
  <c r="D410" i="5"/>
  <c r="C410" i="5"/>
  <c r="D409" i="5"/>
  <c r="C409" i="5"/>
  <c r="D408" i="5"/>
  <c r="C408" i="5"/>
  <c r="D407" i="5"/>
  <c r="C407" i="5"/>
  <c r="D406" i="5"/>
  <c r="C406" i="5"/>
  <c r="D405" i="5"/>
  <c r="C405" i="5"/>
  <c r="D404" i="5"/>
  <c r="C404" i="5"/>
  <c r="D403" i="5"/>
  <c r="C403" i="5"/>
  <c r="D402" i="5"/>
  <c r="C402" i="5"/>
  <c r="D401" i="5"/>
  <c r="C401" i="5"/>
  <c r="D400" i="5"/>
  <c r="C400" i="5"/>
  <c r="D399" i="5"/>
  <c r="C399" i="5"/>
  <c r="D398" i="5"/>
  <c r="C398" i="5"/>
  <c r="D397" i="5"/>
  <c r="C397" i="5"/>
  <c r="D396" i="5"/>
  <c r="C396" i="5"/>
  <c r="D395" i="5"/>
  <c r="C395" i="5"/>
  <c r="D394" i="5"/>
  <c r="C394" i="5"/>
  <c r="D393" i="5"/>
  <c r="C393" i="5"/>
  <c r="D392" i="5"/>
  <c r="C392" i="5"/>
  <c r="D391" i="5"/>
  <c r="C391" i="5"/>
  <c r="D390" i="5"/>
  <c r="C390" i="5"/>
  <c r="D389" i="5"/>
  <c r="C389" i="5"/>
  <c r="D388" i="5"/>
  <c r="C388" i="5"/>
  <c r="D387" i="5"/>
  <c r="C387" i="5"/>
  <c r="D386" i="5"/>
  <c r="C386" i="5"/>
  <c r="D385" i="5"/>
  <c r="C385" i="5"/>
  <c r="D384" i="5"/>
  <c r="C384" i="5"/>
  <c r="D383" i="5"/>
  <c r="C383" i="5"/>
  <c r="D382" i="5"/>
  <c r="C382" i="5"/>
  <c r="D381" i="5"/>
  <c r="C381" i="5"/>
  <c r="D380" i="5"/>
  <c r="C380" i="5"/>
  <c r="D379" i="5"/>
  <c r="C379" i="5"/>
  <c r="D378" i="5"/>
  <c r="C378" i="5"/>
  <c r="D377" i="5"/>
  <c r="C377" i="5"/>
  <c r="D376" i="5"/>
  <c r="C376" i="5"/>
  <c r="D375" i="5"/>
  <c r="C375" i="5"/>
  <c r="D374" i="5"/>
  <c r="C374" i="5"/>
  <c r="D373" i="5"/>
  <c r="C373" i="5"/>
  <c r="D372" i="5"/>
  <c r="C372" i="5"/>
  <c r="D371" i="5"/>
  <c r="C371" i="5"/>
  <c r="D370" i="5"/>
  <c r="C370" i="5"/>
  <c r="D369" i="5"/>
  <c r="C369" i="5"/>
  <c r="D368" i="5"/>
  <c r="C368" i="5"/>
  <c r="D367" i="5"/>
  <c r="C367" i="5"/>
  <c r="D366" i="5"/>
  <c r="C366" i="5"/>
  <c r="D365" i="5"/>
  <c r="C365" i="5"/>
  <c r="D364" i="5"/>
  <c r="C364" i="5"/>
  <c r="D363" i="5"/>
  <c r="C363" i="5"/>
  <c r="D362" i="5"/>
  <c r="C362" i="5"/>
  <c r="D361" i="5"/>
  <c r="C361" i="5"/>
  <c r="D360" i="5"/>
  <c r="C360" i="5"/>
  <c r="D359" i="5"/>
  <c r="C359" i="5"/>
  <c r="D358" i="5"/>
  <c r="C358" i="5"/>
  <c r="D357" i="5"/>
  <c r="C357" i="5"/>
  <c r="D356" i="5"/>
  <c r="C356" i="5"/>
  <c r="D355" i="5"/>
  <c r="C355" i="5"/>
  <c r="D354" i="5"/>
  <c r="C354" i="5"/>
  <c r="D353" i="5"/>
  <c r="C353" i="5"/>
  <c r="D352" i="5"/>
  <c r="C352" i="5"/>
  <c r="D351" i="5"/>
  <c r="C351" i="5"/>
  <c r="D350" i="5"/>
  <c r="C350" i="5"/>
  <c r="D349" i="5"/>
  <c r="C349" i="5"/>
  <c r="D348" i="5"/>
  <c r="C348" i="5"/>
  <c r="D347" i="5"/>
  <c r="C347" i="5"/>
  <c r="D346" i="5"/>
  <c r="C346" i="5"/>
  <c r="D345" i="5"/>
  <c r="C345" i="5"/>
  <c r="D344" i="5"/>
  <c r="C344" i="5"/>
  <c r="D343" i="5"/>
  <c r="C343" i="5"/>
  <c r="D342" i="5"/>
  <c r="C342" i="5"/>
  <c r="D341" i="5"/>
  <c r="C341" i="5"/>
  <c r="D340" i="5"/>
  <c r="C340" i="5"/>
  <c r="D339" i="5"/>
  <c r="C339" i="5"/>
  <c r="D338" i="5"/>
  <c r="C338" i="5"/>
  <c r="D337" i="5"/>
  <c r="C337" i="5"/>
  <c r="D336" i="5"/>
  <c r="C336" i="5"/>
  <c r="D335" i="5"/>
  <c r="C335" i="5"/>
  <c r="D334" i="5"/>
  <c r="C334" i="5"/>
  <c r="D333" i="5"/>
  <c r="C333" i="5"/>
  <c r="D332" i="5"/>
  <c r="C332" i="5"/>
  <c r="D331" i="5"/>
  <c r="C331" i="5"/>
  <c r="D330" i="5"/>
  <c r="C330" i="5"/>
  <c r="D329" i="5"/>
  <c r="C329" i="5"/>
  <c r="D328" i="5"/>
  <c r="C328" i="5"/>
  <c r="D327" i="5"/>
  <c r="C327" i="5"/>
  <c r="D326" i="5"/>
  <c r="C326" i="5"/>
  <c r="D325" i="5"/>
  <c r="C325" i="5"/>
  <c r="D324" i="5"/>
  <c r="C324" i="5"/>
  <c r="D323" i="5"/>
  <c r="C323" i="5"/>
  <c r="D322" i="5"/>
  <c r="C322" i="5"/>
  <c r="D321" i="5"/>
  <c r="C321" i="5"/>
  <c r="D320" i="5"/>
  <c r="C320" i="5"/>
  <c r="D319" i="5"/>
  <c r="C319" i="5"/>
  <c r="D318" i="5"/>
  <c r="C318" i="5"/>
  <c r="D317" i="5"/>
  <c r="C317" i="5"/>
  <c r="D316" i="5"/>
  <c r="C316" i="5"/>
  <c r="D315" i="5"/>
  <c r="C315" i="5"/>
  <c r="D314" i="5"/>
  <c r="C314" i="5"/>
  <c r="D313" i="5"/>
  <c r="C313" i="5"/>
  <c r="D312" i="5"/>
  <c r="C312" i="5"/>
  <c r="D311" i="5"/>
  <c r="C311" i="5"/>
  <c r="D310" i="5"/>
  <c r="C310" i="5"/>
  <c r="D309" i="5"/>
  <c r="C309" i="5"/>
  <c r="D308" i="5"/>
  <c r="C308" i="5"/>
  <c r="D307" i="5"/>
  <c r="C307" i="5"/>
  <c r="D306" i="5"/>
  <c r="C306" i="5"/>
  <c r="D305" i="5"/>
  <c r="C305" i="5"/>
  <c r="D304" i="5"/>
  <c r="C304" i="5"/>
  <c r="D303" i="5"/>
  <c r="C303" i="5"/>
  <c r="D302" i="5"/>
  <c r="C302" i="5"/>
  <c r="D301" i="5"/>
  <c r="C301" i="5"/>
  <c r="D300" i="5"/>
  <c r="C300" i="5"/>
  <c r="D299" i="5"/>
  <c r="C299" i="5"/>
  <c r="D298" i="5"/>
  <c r="C298" i="5"/>
  <c r="D297" i="5"/>
  <c r="C297" i="5"/>
  <c r="D296" i="5"/>
  <c r="C296" i="5"/>
  <c r="D295" i="5"/>
  <c r="C295" i="5"/>
  <c r="D294" i="5"/>
  <c r="C294" i="5"/>
  <c r="D293" i="5"/>
  <c r="C293" i="5"/>
  <c r="D292" i="5"/>
  <c r="C292" i="5"/>
  <c r="D291" i="5"/>
  <c r="C291" i="5"/>
  <c r="D290" i="5"/>
  <c r="C290" i="5"/>
  <c r="D289" i="5"/>
  <c r="C289" i="5"/>
  <c r="D288" i="5"/>
  <c r="C288" i="5"/>
  <c r="D287" i="5"/>
  <c r="C287" i="5"/>
  <c r="D286" i="5"/>
  <c r="C286" i="5"/>
  <c r="D285" i="5"/>
  <c r="C285" i="5"/>
  <c r="D284" i="5"/>
  <c r="C284" i="5"/>
  <c r="D283" i="5"/>
  <c r="C283" i="5"/>
  <c r="D282" i="5"/>
  <c r="C282" i="5"/>
  <c r="D281" i="5"/>
  <c r="C281" i="5"/>
  <c r="D280" i="5"/>
  <c r="C280" i="5"/>
  <c r="D279" i="5"/>
  <c r="C279" i="5"/>
  <c r="D278" i="5"/>
  <c r="C278" i="5"/>
  <c r="D277" i="5"/>
  <c r="C277" i="5"/>
  <c r="D276" i="5"/>
  <c r="C276" i="5"/>
  <c r="D275" i="5"/>
  <c r="C275" i="5"/>
  <c r="D274" i="5"/>
  <c r="C274" i="5"/>
  <c r="D273" i="5"/>
  <c r="C273" i="5"/>
  <c r="D272" i="5"/>
  <c r="C272" i="5"/>
  <c r="D271" i="5"/>
  <c r="C271" i="5"/>
  <c r="D270" i="5"/>
  <c r="C270" i="5"/>
  <c r="D269" i="5"/>
  <c r="C269" i="5"/>
  <c r="D268" i="5"/>
  <c r="C268" i="5"/>
  <c r="D267" i="5"/>
  <c r="C267" i="5"/>
  <c r="D266" i="5"/>
  <c r="C266" i="5"/>
  <c r="D265" i="5"/>
  <c r="C265" i="5"/>
  <c r="D264" i="5"/>
  <c r="C264" i="5"/>
  <c r="D263" i="5"/>
  <c r="C263" i="5"/>
  <c r="D262" i="5"/>
  <c r="C262" i="5"/>
  <c r="D261" i="5"/>
  <c r="C261" i="5"/>
  <c r="D260" i="5"/>
  <c r="C260" i="5"/>
  <c r="D259" i="5"/>
  <c r="C259" i="5"/>
  <c r="D258" i="5"/>
  <c r="C258" i="5"/>
  <c r="D257" i="5"/>
  <c r="C257" i="5"/>
  <c r="D256" i="5"/>
  <c r="C256" i="5"/>
  <c r="D255" i="5"/>
  <c r="C255" i="5"/>
  <c r="D254" i="5"/>
  <c r="C254" i="5"/>
  <c r="D253" i="5"/>
  <c r="C253" i="5"/>
  <c r="D252" i="5"/>
  <c r="C252" i="5"/>
  <c r="D251" i="5"/>
  <c r="C251" i="5"/>
  <c r="D250" i="5"/>
  <c r="C250" i="5"/>
  <c r="D249" i="5"/>
  <c r="C249" i="5"/>
  <c r="D248" i="5"/>
  <c r="C248" i="5"/>
  <c r="D247" i="5"/>
  <c r="C247" i="5"/>
  <c r="D246" i="5"/>
  <c r="C246" i="5"/>
  <c r="D245" i="5"/>
  <c r="C245" i="5"/>
  <c r="D244" i="5"/>
  <c r="C244" i="5"/>
  <c r="D243" i="5"/>
  <c r="C243" i="5"/>
  <c r="D242" i="5"/>
  <c r="C242" i="5"/>
  <c r="D241" i="5"/>
  <c r="C241" i="5"/>
  <c r="D240" i="5"/>
  <c r="C240" i="5"/>
  <c r="D239" i="5"/>
  <c r="C239" i="5"/>
  <c r="D238" i="5"/>
  <c r="C238" i="5"/>
  <c r="D237" i="5"/>
  <c r="C237" i="5"/>
  <c r="D236" i="5"/>
  <c r="C236" i="5"/>
  <c r="D235" i="5"/>
  <c r="C235" i="5"/>
  <c r="D234" i="5"/>
  <c r="C234" i="5"/>
  <c r="D233" i="5"/>
  <c r="C233" i="5"/>
  <c r="D232" i="5"/>
  <c r="C232" i="5"/>
  <c r="D231" i="5"/>
  <c r="C231" i="5"/>
  <c r="D230" i="5"/>
  <c r="C230" i="5"/>
  <c r="D229" i="5"/>
  <c r="C229" i="5"/>
  <c r="D228" i="5"/>
  <c r="C228" i="5"/>
  <c r="D227" i="5"/>
  <c r="C227" i="5"/>
  <c r="D226" i="5"/>
  <c r="C226" i="5"/>
  <c r="D225" i="5"/>
  <c r="C225" i="5"/>
  <c r="D224" i="5"/>
  <c r="C224" i="5"/>
  <c r="D223" i="5"/>
  <c r="C223" i="5"/>
  <c r="D222" i="5"/>
  <c r="C222" i="5"/>
  <c r="D221" i="5"/>
  <c r="C221" i="5"/>
  <c r="D220" i="5"/>
  <c r="C220" i="5"/>
  <c r="D219" i="5"/>
  <c r="C219" i="5"/>
  <c r="D218" i="5"/>
  <c r="C218" i="5"/>
  <c r="D217" i="5"/>
  <c r="C217" i="5"/>
  <c r="D216" i="5"/>
  <c r="C216" i="5"/>
  <c r="D215" i="5"/>
  <c r="C215" i="5"/>
  <c r="D214" i="5"/>
  <c r="C214" i="5"/>
  <c r="D213" i="5"/>
  <c r="C213" i="5"/>
  <c r="D212" i="5"/>
  <c r="C212" i="5"/>
  <c r="D211" i="5"/>
  <c r="C211" i="5"/>
  <c r="D210" i="5"/>
  <c r="C210" i="5"/>
  <c r="D209" i="5"/>
  <c r="C209" i="5"/>
  <c r="D208" i="5"/>
  <c r="C208" i="5"/>
  <c r="D207" i="5"/>
  <c r="C207" i="5"/>
  <c r="D206" i="5"/>
  <c r="C206" i="5"/>
  <c r="D205" i="5"/>
  <c r="C205" i="5"/>
  <c r="D204" i="5"/>
  <c r="C204" i="5"/>
  <c r="D203" i="5"/>
  <c r="C203" i="5"/>
  <c r="D202" i="5"/>
  <c r="C202" i="5"/>
  <c r="D201" i="5"/>
  <c r="C201" i="5"/>
  <c r="D200" i="5"/>
  <c r="C200" i="5"/>
  <c r="D199" i="5"/>
  <c r="C199" i="5"/>
  <c r="D198" i="5"/>
  <c r="C198" i="5"/>
  <c r="D197" i="5"/>
  <c r="C197" i="5"/>
  <c r="D196" i="5"/>
  <c r="C196" i="5"/>
  <c r="D195" i="5"/>
  <c r="C195" i="5"/>
  <c r="D194" i="5"/>
  <c r="C194" i="5"/>
  <c r="D193" i="5"/>
  <c r="C193" i="5"/>
  <c r="D192" i="5"/>
  <c r="C192" i="5"/>
  <c r="D191" i="5"/>
  <c r="C191" i="5"/>
  <c r="D190" i="5"/>
  <c r="C190" i="5"/>
  <c r="D189" i="5"/>
  <c r="C189" i="5"/>
  <c r="D188" i="5"/>
  <c r="C188" i="5"/>
  <c r="D187" i="5"/>
  <c r="C187" i="5"/>
  <c r="D186" i="5"/>
  <c r="C186" i="5"/>
  <c r="D185" i="5"/>
  <c r="C185" i="5"/>
  <c r="D184" i="5"/>
  <c r="C184" i="5"/>
  <c r="D183" i="5"/>
  <c r="C183" i="5"/>
  <c r="D182" i="5"/>
  <c r="C182" i="5"/>
  <c r="D181" i="5"/>
  <c r="C181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6" i="5"/>
  <c r="C166" i="5"/>
  <c r="D165" i="5"/>
  <c r="C165" i="5"/>
  <c r="D164" i="5"/>
  <c r="C164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D146" i="5"/>
  <c r="C146" i="5"/>
  <c r="D145" i="5"/>
  <c r="C145" i="5"/>
  <c r="D144" i="5"/>
  <c r="C144" i="5"/>
  <c r="D143" i="5"/>
  <c r="C143" i="5"/>
  <c r="D142" i="5"/>
  <c r="C142" i="5"/>
  <c r="D141" i="5"/>
  <c r="C141" i="5"/>
  <c r="D140" i="5"/>
  <c r="C140" i="5"/>
  <c r="D139" i="5"/>
  <c r="C139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D114" i="5"/>
  <c r="C114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2" i="5"/>
  <c r="C2" i="5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<sst xmlns="http://schemas.openxmlformats.org/spreadsheetml/2006/main" count="17659" uniqueCount="8895">
  <si>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</si>
  <si>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</si>
  <si>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</si>
  <si>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</si>
  <si>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</si>
  <si>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</si>
  <si>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</si>
  <si>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</si>
  <si>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</si>
  <si>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</si>
  <si>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</si>
  <si>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</si>
  <si>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</si>
  <si>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</si>
  <si>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</si>
  <si>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</si>
  <si>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Full Record URL</t>
  </si>
  <si>
    <t>Geography/Travel; History</t>
  </si>
  <si>
    <t>English</t>
  </si>
  <si>
    <t>Taylor &amp; Francis Group</t>
  </si>
  <si>
    <t>Routledge</t>
  </si>
  <si>
    <t>Medicine; Psychology</t>
  </si>
  <si>
    <t>Philosophy</t>
  </si>
  <si>
    <t>Law</t>
  </si>
  <si>
    <t>Literature</t>
  </si>
  <si>
    <t>Psychology</t>
  </si>
  <si>
    <t>Economics; Business/Management</t>
  </si>
  <si>
    <t>Fine Arts</t>
  </si>
  <si>
    <t>Business/Management</t>
  </si>
  <si>
    <t>History; Political Science</t>
  </si>
  <si>
    <t>Education</t>
  </si>
  <si>
    <t>Engineering; Engineering: Environmental; Environmental Studies</t>
  </si>
  <si>
    <t>Philosophy; Social Science</t>
  </si>
  <si>
    <t>Political Science</t>
  </si>
  <si>
    <t>History</t>
  </si>
  <si>
    <t>Language/Linguistics</t>
  </si>
  <si>
    <t>Military Science</t>
  </si>
  <si>
    <t>Religion</t>
  </si>
  <si>
    <t>Social Science</t>
  </si>
  <si>
    <t>Environmental Studies; Economics</t>
  </si>
  <si>
    <t>General Works/Reference</t>
  </si>
  <si>
    <t>Business/Management; Economics</t>
  </si>
  <si>
    <t>Economics</t>
  </si>
  <si>
    <t>Psychology Press</t>
  </si>
  <si>
    <t>Routledge Modular Psychology Ser.</t>
  </si>
  <si>
    <t>History; Social Science</t>
  </si>
  <si>
    <t>Language/Linguistics; Literature</t>
  </si>
  <si>
    <t>Literature; Engineering; Engineering: General</t>
  </si>
  <si>
    <t>Literature; Fine Arts</t>
  </si>
  <si>
    <t>Business/Management; Social Science</t>
  </si>
  <si>
    <t>Medical ethics</t>
  </si>
  <si>
    <t>Language/Linguistics; Education</t>
  </si>
  <si>
    <t>Museums</t>
  </si>
  <si>
    <t>Business/Management; Environmental Studies</t>
  </si>
  <si>
    <t>658.4/08</t>
  </si>
  <si>
    <t>CRC Press</t>
  </si>
  <si>
    <t>Computer Science/IT</t>
  </si>
  <si>
    <t>CRC Press LLC</t>
  </si>
  <si>
    <t>Engineering: General; Engineering: Civil; Engineering</t>
  </si>
  <si>
    <t>Routledge Research in Postcolonial Literatures Ser.</t>
  </si>
  <si>
    <t>Taylor &amp; Francis</t>
  </si>
  <si>
    <t>Architecture</t>
  </si>
  <si>
    <t>Political Science; Law</t>
  </si>
  <si>
    <t>155.4/13</t>
  </si>
  <si>
    <t>Economics; Tourism/Hospitality</t>
  </si>
  <si>
    <t>Economics; Tourism/Hospitality; Business/Management</t>
  </si>
  <si>
    <t>Economics; Environmental Studies; Business/Management</t>
  </si>
  <si>
    <t>Medicine; Philosophy</t>
  </si>
  <si>
    <t>Science; Science: General</t>
  </si>
  <si>
    <t>Tourism/Hospitality</t>
  </si>
  <si>
    <t>Language/Linguistics; Social Science</t>
  </si>
  <si>
    <t>338/.064</t>
  </si>
  <si>
    <t>Nissan Institute/Routledge Japanese Studies</t>
  </si>
  <si>
    <t>Democracy.</t>
  </si>
  <si>
    <t>Social Science; Education</t>
  </si>
  <si>
    <t>Tourism. ; Sustainable development.</t>
  </si>
  <si>
    <t>Engineering; Engineering: Chemical</t>
  </si>
  <si>
    <t>Social Science; General Works/Reference</t>
  </si>
  <si>
    <t>Psychology; Medicine</t>
  </si>
  <si>
    <t>Social Science; Psychology</t>
  </si>
  <si>
    <t>Fine Arts; Literature</t>
  </si>
  <si>
    <t>Engineering; Engineering: Civil</t>
  </si>
  <si>
    <t>Routledge Classics Ser.</t>
  </si>
  <si>
    <t>Political Science; History</t>
  </si>
  <si>
    <t>Engineering; Engineering: Construction</t>
  </si>
  <si>
    <t>Engineering: Civil; Engineering: General; Engineering</t>
  </si>
  <si>
    <t>Economics; Engineering: Environmental; Engineering; Environmental Studies</t>
  </si>
  <si>
    <t>Engineering; Architecture; Engineering: Construction</t>
  </si>
  <si>
    <t>Discourse analysis</t>
  </si>
  <si>
    <t>Social Science; Business/Management</t>
  </si>
  <si>
    <t>Routledge Studies on the Chinese Economy Ser.</t>
  </si>
  <si>
    <t>Engineering: Civil; Engineering; Engineering: General</t>
  </si>
  <si>
    <t>Environmental Studies; Business/Management; Economics</t>
  </si>
  <si>
    <t>Engineering: Construction; Engineering</t>
  </si>
  <si>
    <t>Engineering; Engineering: Mechanical; Engineering: Construction</t>
  </si>
  <si>
    <t>Fine Arts; Agriculture</t>
  </si>
  <si>
    <t>Asia's Transformations Ser.</t>
  </si>
  <si>
    <t>Law; Political Science</t>
  </si>
  <si>
    <t>New Library of Psychoanalysis Ser.</t>
  </si>
  <si>
    <t>Business/Management; Psychology</t>
  </si>
  <si>
    <t>303.48/33</t>
  </si>
  <si>
    <t>Routledge Studies in International Business and the World Economy Ser.</t>
  </si>
  <si>
    <t>Routledge Leading Linguists Ser.</t>
  </si>
  <si>
    <t>Social Science; Sport &amp;amp; Recreation</t>
  </si>
  <si>
    <t>Engineering; Engineering: Environmental</t>
  </si>
  <si>
    <t>Environmental Studies</t>
  </si>
  <si>
    <t>Social Science; Political Science</t>
  </si>
  <si>
    <t>111/.85</t>
  </si>
  <si>
    <t>Science: Geology; Science</t>
  </si>
  <si>
    <t>Routledge Studies in Contemporary Philosophy Ser.</t>
  </si>
  <si>
    <t>Business/Management; Philosophy</t>
  </si>
  <si>
    <t>Technological innovations</t>
  </si>
  <si>
    <t>Health; Social Science</t>
  </si>
  <si>
    <t>Engineering: Environmental; Engineering</t>
  </si>
  <si>
    <t>Engineering; Engineering: Mechanical; Economics; Environmental Studies</t>
  </si>
  <si>
    <t>Engineering; Engineering: Mechanical; Engineering: General</t>
  </si>
  <si>
    <t>Engineering: Environmental; Engineering; Engineering: General</t>
  </si>
  <si>
    <t>Recycling (Waste, etc.)</t>
  </si>
  <si>
    <t>Engineering: Chemical; Engineering</t>
  </si>
  <si>
    <t>Science; Engineering; Science: Biology/Natural History; Engineering: Chemical</t>
  </si>
  <si>
    <t>Biotechnology.</t>
  </si>
  <si>
    <t>Engineering: Civil; Engineering; Engineering: Environmental</t>
  </si>
  <si>
    <t>808/.02</t>
  </si>
  <si>
    <t>Education; Language/Linguistics</t>
  </si>
  <si>
    <t>Medicine</t>
  </si>
  <si>
    <t>The Basics</t>
  </si>
  <si>
    <t>Science: Geology; Science: Physics; Science</t>
  </si>
  <si>
    <t>Social Science; Fine Arts</t>
  </si>
  <si>
    <t>338.9/27</t>
  </si>
  <si>
    <t>Engineering: Civil; Engineering</t>
  </si>
  <si>
    <t>363.738/74</t>
  </si>
  <si>
    <t>337.1/5</t>
  </si>
  <si>
    <t>Human engineering.</t>
  </si>
  <si>
    <t>Outstanding Dissertations in Linguistics Ser.</t>
  </si>
  <si>
    <t>Literary Criticism and Cultural Theory Ser.</t>
  </si>
  <si>
    <t>Political Science; Social Science</t>
  </si>
  <si>
    <t>Routledge Advances in Middle East and Islamic Studies</t>
  </si>
  <si>
    <t>Routledge Contemporary China Ser.</t>
  </si>
  <si>
    <t>IGI Global</t>
  </si>
  <si>
    <t>Contesting Early Childhood Ser.</t>
  </si>
  <si>
    <t>Studies in Developmental Psychology Ser.</t>
  </si>
  <si>
    <t>Engineering; Engineering: Electrical</t>
  </si>
  <si>
    <t>Engineering: Mechanical; Engineering: General; Engineering</t>
  </si>
  <si>
    <t>Auerbach Publications</t>
  </si>
  <si>
    <t>Science: Biology/Natural History; Science</t>
  </si>
  <si>
    <t>Chapman &amp; Hall/CRC</t>
  </si>
  <si>
    <t>Science: Biology/Natural History; Science; Science: Anatomy/Physiology</t>
  </si>
  <si>
    <t>Philosophy; Religion</t>
  </si>
  <si>
    <t>Children's Literature and Culture Ser.</t>
  </si>
  <si>
    <t>Journalism</t>
  </si>
  <si>
    <t>Routledge Contemporary Introductions to Philosophy Ser.</t>
  </si>
  <si>
    <t>History; Geography/Travel</t>
  </si>
  <si>
    <t>428.2/4</t>
  </si>
  <si>
    <t>Environmental Studies; Social Science; Economics</t>
  </si>
  <si>
    <t>Philosophy; Political Science</t>
  </si>
  <si>
    <t>Contemporary Geographies of Leisure, Tourism and Mobility Ser.</t>
  </si>
  <si>
    <t>338.4/791</t>
  </si>
  <si>
    <t>Routledge Advanced Texts in Economics and Finance Ser.</t>
  </si>
  <si>
    <t>Engineering; Engineering: Environmental; Economics; Environmental Studies</t>
  </si>
  <si>
    <t>Philosophy; Business/Management</t>
  </si>
  <si>
    <t>174/.4</t>
  </si>
  <si>
    <t>Medicine; Pharmacy</t>
  </si>
  <si>
    <t>Engineering; Engineering: General; Engineering: Civil</t>
  </si>
  <si>
    <t>Engineering: Environmental; Engineering; Environmental Studies</t>
  </si>
  <si>
    <t>ISPRS Book Ser.</t>
  </si>
  <si>
    <t>Engineering: Mechanical; Engineering; Engineering: General</t>
  </si>
  <si>
    <t>Engineering: Electrical; Engineering</t>
  </si>
  <si>
    <t>Food Science and Technology Ser.</t>
  </si>
  <si>
    <t>Agriculture</t>
  </si>
  <si>
    <t>Engineering; Engineering: Mechanical; Engineering: Chemical</t>
  </si>
  <si>
    <t>Business/Management; General Works/Reference</t>
  </si>
  <si>
    <t>Engineering; Engineering: Civil; Engineering: General</t>
  </si>
  <si>
    <t>Science; Science: Biology/Natural History</t>
  </si>
  <si>
    <t>Engineering: Mechanical; Engineering</t>
  </si>
  <si>
    <t>Optical Science and Engineering Ser.</t>
  </si>
  <si>
    <t>Computer Science/IT; Engineering: Electrical; Engineering</t>
  </si>
  <si>
    <t>Science; Science: Chemistry</t>
  </si>
  <si>
    <t>Surfactant Science Ser.</t>
  </si>
  <si>
    <t>Engineering: Mechanical; Engineering; Business/Management</t>
  </si>
  <si>
    <t>Engineering; Engineering: Mechanical</t>
  </si>
  <si>
    <t>Business/Management; Economics; Environmental Studies</t>
  </si>
  <si>
    <t>330.01/5195</t>
  </si>
  <si>
    <t>Routledge Cavendish</t>
  </si>
  <si>
    <t>International law.</t>
  </si>
  <si>
    <t>World Scientific Publishing Company</t>
  </si>
  <si>
    <t>World Scientific</t>
  </si>
  <si>
    <t>Engineering: General; Engineering</t>
  </si>
  <si>
    <t>Emerald Publishing Limited</t>
  </si>
  <si>
    <t>Emerald Group Publishing Limited</t>
  </si>
  <si>
    <t>Hospitality industry. ; Tourism.</t>
  </si>
  <si>
    <t>Elsevier Science &amp; Technology</t>
  </si>
  <si>
    <t>Academic Press</t>
  </si>
  <si>
    <t>Tourism/Hospitality; Economics</t>
  </si>
  <si>
    <t>Computer Science/IT; Business/Management</t>
  </si>
  <si>
    <t>Social Science; Tourism/Hospitality</t>
  </si>
  <si>
    <t>Business/Management; Environmental Studies; Economics</t>
  </si>
  <si>
    <t>Medicine; Social Science; Health</t>
  </si>
  <si>
    <t>Social responsibility of business</t>
  </si>
  <si>
    <t>Translating and interpreting.</t>
  </si>
  <si>
    <t>Economics; Environmental Studies</t>
  </si>
  <si>
    <t>Organization for Economic Cooperation &amp; Development</t>
  </si>
  <si>
    <t>OECD</t>
  </si>
  <si>
    <t>Economics; Business/Management; Environmental Studies</t>
  </si>
  <si>
    <t>Sport &amp;amp; Recreation</t>
  </si>
  <si>
    <t>371.33/44678</t>
  </si>
  <si>
    <t>Law; Business/Management</t>
  </si>
  <si>
    <t>Engineering: General; Engineering; Engineering: Mechanical</t>
  </si>
  <si>
    <t>Routledge Research in Cultural and Media Studies</t>
  </si>
  <si>
    <t>Engineering; Engineering: General</t>
  </si>
  <si>
    <t>Psychology; Philosophy</t>
  </si>
  <si>
    <t>Environmental Studies; Social Science</t>
  </si>
  <si>
    <t>Environment and Society</t>
  </si>
  <si>
    <t>Health; Medicine; Social Science</t>
  </si>
  <si>
    <t>Architecture; Fine Arts</t>
  </si>
  <si>
    <t>303.48/3</t>
  </si>
  <si>
    <t>Kogan Page, Limited</t>
  </si>
  <si>
    <t>Human capital.</t>
  </si>
  <si>
    <t>658.3/01</t>
  </si>
  <si>
    <t>Negotiation in business.</t>
  </si>
  <si>
    <t>Economics; Business/Management; Tourism/Hospitality</t>
  </si>
  <si>
    <t>Science: General; Science</t>
  </si>
  <si>
    <t>Museum Meanings Ser.</t>
  </si>
  <si>
    <t>Engineering: Mechanical; Engineering: Construction; Engineering</t>
  </si>
  <si>
    <t>370.15/23</t>
  </si>
  <si>
    <t>Engineering; Computer Science/IT; Engineering: Electrical</t>
  </si>
  <si>
    <t>Computer Science/IT; Science</t>
  </si>
  <si>
    <t>Engineering: Mechanical; Economics; Engineering; Environmental Studies</t>
  </si>
  <si>
    <t>Artech House</t>
  </si>
  <si>
    <t>BRILL</t>
  </si>
  <si>
    <t>Business/Management; Agriculture; Economics</t>
  </si>
  <si>
    <t>658.4/038</t>
  </si>
  <si>
    <t>Khosrow-Pour, Mehdi</t>
  </si>
  <si>
    <t>French</t>
  </si>
  <si>
    <t>Social Science; Health</t>
  </si>
  <si>
    <t>Library Science</t>
  </si>
  <si>
    <t>Engineering: General; Business/Management; Engineering</t>
  </si>
  <si>
    <t>Asian Security Studies</t>
  </si>
  <si>
    <t>Routledge Contemporary Japan Ser.</t>
  </si>
  <si>
    <t>307.1/216</t>
  </si>
  <si>
    <t>371.2/07</t>
  </si>
  <si>
    <t>Science; Medicine; Science: Biology/Natural History</t>
  </si>
  <si>
    <t>Human body - Social aspects</t>
  </si>
  <si>
    <t>HD9502.A2</t>
  </si>
  <si>
    <t>Environmental protection.</t>
  </si>
  <si>
    <t>Fennell, David A.</t>
  </si>
  <si>
    <t>Geography/Travel; Tourism/Hospitality</t>
  </si>
  <si>
    <t>Engineering: Manufacturing; Engineering</t>
  </si>
  <si>
    <t>338/.04</t>
  </si>
  <si>
    <t>Engineering: General; Engineering: Mechanical; Engineering</t>
  </si>
  <si>
    <t>Military Science; Social Science</t>
  </si>
  <si>
    <t>HF5410-5417.5</t>
  </si>
  <si>
    <t>HD28-70</t>
  </si>
  <si>
    <t>HD72-88</t>
  </si>
  <si>
    <t>428/.0071</t>
  </si>
  <si>
    <t>Engineering; Engineering: Civil; Engineering: Electrical</t>
  </si>
  <si>
    <t>HG4001-4285</t>
  </si>
  <si>
    <t>Sport &amp;amp; Recreation; Social Science</t>
  </si>
  <si>
    <t>Social Science; Environmental Studies</t>
  </si>
  <si>
    <t>Science: Geology; Environmental Studies; Economics; Science</t>
  </si>
  <si>
    <t>Science: General; Education</t>
  </si>
  <si>
    <t>507/.1</t>
  </si>
  <si>
    <t>Engineering; Engineering: Electrical; Engineering: Civil</t>
  </si>
  <si>
    <t>Automation and Control Engineering Ser.</t>
  </si>
  <si>
    <t>Engineering: General; Engineering: Electrical; Engineering</t>
  </si>
  <si>
    <t>Engineering; Engineering: General; Engineering: Mechanical</t>
  </si>
  <si>
    <t>Materials science.</t>
  </si>
  <si>
    <t>Engineering: Electrical; Engineering: General; Engineering</t>
  </si>
  <si>
    <t>620.1/1</t>
  </si>
  <si>
    <t>658.15/5</t>
  </si>
  <si>
    <t>Nanotechnology.</t>
  </si>
  <si>
    <t>Ilyas, Mohammad;Mahgoub, Imad</t>
  </si>
  <si>
    <t>Geography/Travel</t>
  </si>
  <si>
    <t>Economics; Social Science</t>
  </si>
  <si>
    <t>Environmental Studies; Science: Geology; Science; Economics</t>
  </si>
  <si>
    <t>333.91/64</t>
  </si>
  <si>
    <t>Engineering: Environmental; Engineering; Economics; Environmental Studies</t>
  </si>
  <si>
    <t>Business/Management; Fine Arts</t>
  </si>
  <si>
    <t>Routledge Critical Studies in Buddhism Ser.</t>
  </si>
  <si>
    <t>Routledge Studies in Social and Political Thought Ser.</t>
  </si>
  <si>
    <t>Routledge Studies on China in Transition Ser.</t>
  </si>
  <si>
    <t>Woodhead Publishing Limited</t>
  </si>
  <si>
    <t>Technologies of Architecture Ser.</t>
  </si>
  <si>
    <t>Butterworth-Heinemann</t>
  </si>
  <si>
    <t>Environmental Studies; Business/Management</t>
  </si>
  <si>
    <t>Environmental Studies; Geography/Travel; Economics</t>
  </si>
  <si>
    <t>Industrial management.</t>
  </si>
  <si>
    <t>Morgan Kaufmann</t>
  </si>
  <si>
    <t>Economics; Geography/Travel</t>
  </si>
  <si>
    <t>History; Environmental Studies</t>
  </si>
  <si>
    <t>Strategic planning.</t>
  </si>
  <si>
    <t>North Holland</t>
  </si>
  <si>
    <t>Issn Ser.</t>
  </si>
  <si>
    <t>Geography/Travel; Environmental Studies</t>
  </si>
  <si>
    <t>327.5124/9051</t>
  </si>
  <si>
    <t>Hart Publishing</t>
  </si>
  <si>
    <t>Cognitive grammar</t>
  </si>
  <si>
    <t>Architecture; Social Science</t>
  </si>
  <si>
    <t>658.8/12</t>
  </si>
  <si>
    <t>Business logistics.</t>
  </si>
  <si>
    <t>Law; Social Science</t>
  </si>
  <si>
    <t>Business/Management; History</t>
  </si>
  <si>
    <t>Routledge Essential Grammars Ser.</t>
  </si>
  <si>
    <t>Environmental Politics Ser.</t>
  </si>
  <si>
    <t>Sustainable development</t>
  </si>
  <si>
    <t>Multicultural education</t>
  </si>
  <si>
    <t>Social Science; Business/Management; Economics</t>
  </si>
  <si>
    <t>HT166</t>
  </si>
  <si>
    <t>Engineering: General; Engineering; Engineering: Civil</t>
  </si>
  <si>
    <t>Geography/Travel; Economics</t>
  </si>
  <si>
    <t>Elsevier Science &amp; Technology Books</t>
  </si>
  <si>
    <t>658.4;658.408</t>
  </si>
  <si>
    <t>Engineering: Chemical; Business/Management; Engineering</t>
  </si>
  <si>
    <t>Engineering; Engineering: General; Business/Management</t>
  </si>
  <si>
    <t>Library Management</t>
  </si>
  <si>
    <t>Libraries Unlimited</t>
  </si>
  <si>
    <t>German</t>
  </si>
  <si>
    <t>Mathematics</t>
  </si>
  <si>
    <t>371.102/4</t>
  </si>
  <si>
    <t>Economic development.</t>
  </si>
  <si>
    <t>Engineering; Science; Engineering: Environmental; Science: Biology/Natural History</t>
  </si>
  <si>
    <t>Home Economics; Health</t>
  </si>
  <si>
    <t>Science: Chemistry; Engineering; Science; Engineering: Chemical</t>
  </si>
  <si>
    <t>352.7/45</t>
  </si>
  <si>
    <t>Chemical Industries</t>
  </si>
  <si>
    <t>Speight, James G.</t>
  </si>
  <si>
    <t>Urban ecology (Sociology) ; City planning -- Environmental aspects. ; Sustainable architecture. ; Sustainable development.</t>
  </si>
  <si>
    <t>Environmental Studies; Social Science; Health</t>
  </si>
  <si>
    <t>Tourism.</t>
  </si>
  <si>
    <t>Science; Science: Geology</t>
  </si>
  <si>
    <t>Modernism (Literature)</t>
  </si>
  <si>
    <t>Emergency management.</t>
  </si>
  <si>
    <t>658.15/11</t>
  </si>
  <si>
    <t>CABI</t>
  </si>
  <si>
    <t>CAB International</t>
  </si>
  <si>
    <t>Agriculture; Business/Management; Economics</t>
  </si>
  <si>
    <t>Business/Management; Economics; Tourism/Hospitality</t>
  </si>
  <si>
    <t>631.5/8</t>
  </si>
  <si>
    <t>658.4/033</t>
  </si>
  <si>
    <t>Economics; Environmental Studies; Agriculture</t>
  </si>
  <si>
    <t>Agriculture; Economics; Environmental Studies</t>
  </si>
  <si>
    <t>Social Science; Geography/Travel</t>
  </si>
  <si>
    <t>Fine Arts; History</t>
  </si>
  <si>
    <t>General Works/Reference; Library Science</t>
  </si>
  <si>
    <t>Agriculture; Environmental Studies; Economics</t>
  </si>
  <si>
    <t>Forests and forestry.</t>
  </si>
  <si>
    <t>Ecotourism.</t>
  </si>
  <si>
    <t>Theory4 Ser.</t>
  </si>
  <si>
    <t>City planning.</t>
  </si>
  <si>
    <t>International education</t>
  </si>
  <si>
    <t>658.4/063</t>
  </si>
  <si>
    <t>Social Science; Science: Biology/Natural History; Science</t>
  </si>
  <si>
    <t>HD62.4-62.45</t>
  </si>
  <si>
    <t>Microfinance.</t>
  </si>
  <si>
    <t>HC79.E5</t>
  </si>
  <si>
    <t>Bloomsbury Publishing Plc</t>
  </si>
  <si>
    <t>Bloomsbury Academic</t>
  </si>
  <si>
    <t>658.4/06</t>
  </si>
  <si>
    <t>Business networks.</t>
  </si>
  <si>
    <t>Environmental Studies; Agriculture; Economics</t>
  </si>
  <si>
    <t>Juvenile Literature</t>
  </si>
  <si>
    <t>Science; Science: Physics</t>
  </si>
  <si>
    <t>Science: Physics; Science: Geology; Science</t>
  </si>
  <si>
    <t>Red Globe</t>
  </si>
  <si>
    <t>378.1/55</t>
  </si>
  <si>
    <t>Economics; Agriculture; Environmental Studies</t>
  </si>
  <si>
    <t>658.8/02</t>
  </si>
  <si>
    <t>OECD Publishing</t>
  </si>
  <si>
    <t>Engineering; Engineering: Chemical; Engineering: General</t>
  </si>
  <si>
    <t>Environmental Studies; Economics; Business/Management</t>
  </si>
  <si>
    <t>658.4/012</t>
  </si>
  <si>
    <t>Economics; Agriculture; Business/Management</t>
  </si>
  <si>
    <t>HF5549-5549.5</t>
  </si>
  <si>
    <t>895.1/09005</t>
  </si>
  <si>
    <t>Science: Geology; Science; Social Science</t>
  </si>
  <si>
    <t>Engineering; Engineering: Civil; Engineering: Construction</t>
  </si>
  <si>
    <t>Agriculture; Fine Arts</t>
  </si>
  <si>
    <t>Routledge Contemporary Asia Ser.</t>
  </si>
  <si>
    <t>Routledge Studies in Human Geography Ser.</t>
  </si>
  <si>
    <t>EDP Sciences</t>
  </si>
  <si>
    <t>Agriculture; Economics; Business/Management</t>
  </si>
  <si>
    <t>Wireless communication systems.</t>
  </si>
  <si>
    <t>620/.5</t>
  </si>
  <si>
    <t>Medicine; Health</t>
  </si>
  <si>
    <t>International business enterprises.</t>
  </si>
  <si>
    <t>Hanson, Mark</t>
  </si>
  <si>
    <t>Routledge Studies in Middle Eastern Literatures Ser.</t>
  </si>
  <si>
    <t>Aufsatzsammlung</t>
  </si>
  <si>
    <t>Routledge Annals of Bioethics Ser.</t>
  </si>
  <si>
    <t>Routledge Studies in Physical Education and Youth Sport Ser.</t>
  </si>
  <si>
    <t>Sports - Physiological aspects</t>
  </si>
  <si>
    <t>792.02/8</t>
  </si>
  <si>
    <t>African Studies</t>
  </si>
  <si>
    <t>Bloomsbury Academic &amp; Professional</t>
  </si>
  <si>
    <t>Zed Books</t>
  </si>
  <si>
    <t>Managerial accounting.</t>
  </si>
  <si>
    <t>Social Science; Mathematics</t>
  </si>
  <si>
    <t>Environmental Studies; Engineering; Engineering: Environmental</t>
  </si>
  <si>
    <t>Health; Social Science; Medicine</t>
  </si>
  <si>
    <t>Engineering: Construction; Architecture; Engineering</t>
  </si>
  <si>
    <t>Comedia Ser.</t>
  </si>
  <si>
    <t>History; Business/Management</t>
  </si>
  <si>
    <t>Philosophy; Fine Arts</t>
  </si>
  <si>
    <t>Science; Science: Botany</t>
  </si>
  <si>
    <t>Science; Science: Zoology</t>
  </si>
  <si>
    <t>Walter de Gruyter GmbH</t>
  </si>
  <si>
    <t>Adams Media</t>
  </si>
  <si>
    <t>Business/Management; Engineering; Engineering: Chemical</t>
  </si>
  <si>
    <t>Selling.</t>
  </si>
  <si>
    <t>Science: Zoology; Science</t>
  </si>
  <si>
    <t>HC79</t>
  </si>
  <si>
    <t>Science; Science: Geology; Science: Physics</t>
  </si>
  <si>
    <t>Dutch; Flemish</t>
  </si>
  <si>
    <t>Effective teaching</t>
  </si>
  <si>
    <t>SAGE Publications, Incorporated</t>
  </si>
  <si>
    <t>Keown, Damien</t>
  </si>
  <si>
    <t>Publishing</t>
  </si>
  <si>
    <t>Law; General Works/Reference</t>
  </si>
  <si>
    <t>363.738/746</t>
  </si>
  <si>
    <t>Economics; Science: Zoology; Environmental Studies; Science</t>
  </si>
  <si>
    <t>TP339</t>
  </si>
  <si>
    <t>333.95/39</t>
  </si>
  <si>
    <t>Biomass energy.</t>
  </si>
  <si>
    <t>Environmental Studies; Engineering: Environmental; Engineering</t>
  </si>
  <si>
    <t>333.79/4</t>
  </si>
  <si>
    <t>Environmental Studies; Economics; Science: Biology/Natural History; Science</t>
  </si>
  <si>
    <t>Santamouris, Mat</t>
  </si>
  <si>
    <t>Engineering: Construction; Engineering: Mechanical; Engineering</t>
  </si>
  <si>
    <t>Economics; Engineering: Mechanical; Engineering; Environmental Studies</t>
  </si>
  <si>
    <t>Spenceley, Anna</t>
  </si>
  <si>
    <t>HC110</t>
  </si>
  <si>
    <t>Social sciences - Research - Statistical methods</t>
  </si>
  <si>
    <t>Human geography</t>
  </si>
  <si>
    <t>Medicine; Social Science</t>
  </si>
  <si>
    <t>R&amp;L Education</t>
  </si>
  <si>
    <t>662/.88</t>
  </si>
  <si>
    <t>346.04/8</t>
  </si>
  <si>
    <t>306.3/4</t>
  </si>
  <si>
    <t>Hamilton Books</t>
  </si>
  <si>
    <t>Environmental Studies; Science: Physics; Science</t>
  </si>
  <si>
    <t>428.0071/2</t>
  </si>
  <si>
    <t>ABC-CLIO, LLC</t>
  </si>
  <si>
    <t>Praeger</t>
  </si>
  <si>
    <t>Rowman &amp; Littlefield Publishers, Incorporated</t>
  </si>
  <si>
    <t>Rowman &amp; Littlefield Publishers</t>
  </si>
  <si>
    <t>Asia/Pacific/Perspectives</t>
  </si>
  <si>
    <t>Lexington Books/Fortress Academic</t>
  </si>
  <si>
    <t>Lexington Books</t>
  </si>
  <si>
    <t>Berghahn Books, Incorporated</t>
  </si>
  <si>
    <t>665.8/1</t>
  </si>
  <si>
    <t>Brill / Rodopi</t>
  </si>
  <si>
    <t>Nature, Culture and Literature Ser.</t>
  </si>
  <si>
    <t>Pharmacy; Medicine</t>
  </si>
  <si>
    <t>Engineering; Science: Geology; Engineering: Environmental; Science</t>
  </si>
  <si>
    <t>338.4/79104</t>
  </si>
  <si>
    <t>T&amp;T Clark</t>
  </si>
  <si>
    <t>Agriculture; Science; Science: Biology/Natural History</t>
  </si>
  <si>
    <t>Science: Geology; Science; Science: Physics</t>
  </si>
  <si>
    <t>Bernan Press</t>
  </si>
  <si>
    <t>Rowman &amp; Littlefield Unlimited Model</t>
  </si>
  <si>
    <t>660.6/2</t>
  </si>
  <si>
    <t>I. B. Tauris &amp; Company, Limited</t>
  </si>
  <si>
    <t>HD60</t>
  </si>
  <si>
    <t>Computer Science/IT; Engineering; Engineering: General</t>
  </si>
  <si>
    <t>Philosophy; Environmental Studies</t>
  </si>
  <si>
    <t>Science: Chemistry; Science</t>
  </si>
  <si>
    <t>810.9/92820971</t>
  </si>
  <si>
    <t>658.15/224</t>
  </si>
  <si>
    <t>Jewish and Christian Texts</t>
  </si>
  <si>
    <t>746.9/2</t>
  </si>
  <si>
    <t>Agriculture; Social Science</t>
  </si>
  <si>
    <t>Animal welfare.</t>
  </si>
  <si>
    <t>Value Inquiry Book Ser.</t>
  </si>
  <si>
    <t>Engineering: Electrical; Engineering; Engineering: Mechanical</t>
  </si>
  <si>
    <t>201/.77</t>
  </si>
  <si>
    <t>Yanarella, Ernest J.;Levine, Richard S.</t>
  </si>
  <si>
    <t>Bentham Science Publishers</t>
  </si>
  <si>
    <t>Engineering: Electrical; Engineering; Engineering: General</t>
  </si>
  <si>
    <t>Digital libraries.</t>
  </si>
  <si>
    <t>Engineering: Environmental; Engineering: Construction; Engineering</t>
  </si>
  <si>
    <t>History; Tourism/Hospitality</t>
  </si>
  <si>
    <t>Engineering; Environmental Studies; Economics; Engineering: Mechanical</t>
  </si>
  <si>
    <t>Renewable energy sources.</t>
  </si>
  <si>
    <t>Corwin Press</t>
  </si>
  <si>
    <t>Environmental Studies; Science; Science: Physics</t>
  </si>
  <si>
    <t>Legal Aspects of Sustainable Development Ser.</t>
  </si>
  <si>
    <t>Elkins, James</t>
  </si>
  <si>
    <t>Woodhead Publishing Series in Composites Science and Engineering Ser.</t>
  </si>
  <si>
    <t>Woodhead Publishing Series in Civil and Structural Engineering Ser.</t>
  </si>
  <si>
    <t>Woodhead Publishing Series in Textiles Ser.</t>
  </si>
  <si>
    <t>Engineering; Engineering: Manufacturing; Fine Arts</t>
  </si>
  <si>
    <t>Woodhead Publishing Series in Electronic and Optical Materials Ser.</t>
  </si>
  <si>
    <t>Woodhead Publishing Series in Food Science, Technology and Nutrition Ser.</t>
  </si>
  <si>
    <t>Engineering; Science; Engineering: Chemical; Science: Biology/Natural History</t>
  </si>
  <si>
    <t>Engineering: Construction; Engineering: Civil; Engineering</t>
  </si>
  <si>
    <t>Woodhead Publishing Series in Metals and Surface Engineering Ser.</t>
  </si>
  <si>
    <t>Engineering: Civil; Engineering; Engineering: Chemical</t>
  </si>
  <si>
    <t>Todaro, Julie</t>
  </si>
  <si>
    <t>American Association for State and Local History</t>
  </si>
  <si>
    <t>Home Economics; Fine Arts</t>
  </si>
  <si>
    <t>Studies in International Law Ser.</t>
  </si>
  <si>
    <t>Intellectual property.</t>
  </si>
  <si>
    <t>Modern Studies in European Law Ser.</t>
  </si>
  <si>
    <t>Nanostructured materials</t>
  </si>
  <si>
    <t>Sustainable development.</t>
  </si>
  <si>
    <t>Food industry and trade.</t>
  </si>
  <si>
    <t>Principles and Applications in Engineering Ser.</t>
  </si>
  <si>
    <t>Biomedical Engineering Ser.</t>
  </si>
  <si>
    <t>Entrepreneurship.</t>
  </si>
  <si>
    <t>Chinese reunification question, 1949-</t>
  </si>
  <si>
    <t>025/.00285</t>
  </si>
  <si>
    <t>Home Economics; Business/Management</t>
  </si>
  <si>
    <t>363.34/7</t>
  </si>
  <si>
    <t>422/.03</t>
  </si>
  <si>
    <t>Health</t>
  </si>
  <si>
    <t>Hospitality industry.</t>
  </si>
  <si>
    <t>Wine and wine making.</t>
  </si>
  <si>
    <t>Psychology; Home Economics</t>
  </si>
  <si>
    <t>Energy policy.</t>
  </si>
  <si>
    <t>Internet and Communications Ser.</t>
  </si>
  <si>
    <t>Economics; Environmental Studies; Science: Biology/Natural History; Science</t>
  </si>
  <si>
    <t>333.71/4</t>
  </si>
  <si>
    <t>Bernan Associates</t>
  </si>
  <si>
    <t>Spanish; Castilian</t>
  </si>
  <si>
    <t>University of Toronto Press</t>
  </si>
  <si>
    <t>004.068/4</t>
  </si>
  <si>
    <t>Business/Management; Engineering: General; Computer Science/IT; Engineering</t>
  </si>
  <si>
    <t>378.1/758</t>
  </si>
  <si>
    <t>352.3/802854678</t>
  </si>
  <si>
    <t>303.48/33091724</t>
  </si>
  <si>
    <t>004.6/8</t>
  </si>
  <si>
    <t>Olla, Phillip</t>
  </si>
  <si>
    <t>National Academies Press</t>
  </si>
  <si>
    <t>Engineering: Mechanical; Engineering; Economics; Environmental Studies</t>
  </si>
  <si>
    <t>Environmental Studies; Science: Geology</t>
  </si>
  <si>
    <t>Sport &amp;amp; Recreation; Agriculture</t>
  </si>
  <si>
    <t>Peer-to-peer travel.</t>
  </si>
  <si>
    <t>Science: Botany; Science</t>
  </si>
  <si>
    <t>Total quality management.</t>
  </si>
  <si>
    <t>Interlanguage (Language learning)</t>
  </si>
  <si>
    <t>Bloomsbury Publishing USA</t>
  </si>
  <si>
    <t>Bloomsbury Visual Arts</t>
  </si>
  <si>
    <t>Methuen Drama</t>
  </si>
  <si>
    <t>Council of Europe</t>
  </si>
  <si>
    <t>Organizational change</t>
  </si>
  <si>
    <t>Engineering; Agriculture; Engineering: Chemical</t>
  </si>
  <si>
    <t>Science; Science: Anatomy/Physiology</t>
  </si>
  <si>
    <t>Jolly, Adam</t>
  </si>
  <si>
    <t>Child development</t>
  </si>
  <si>
    <t>Penn, Helen</t>
  </si>
  <si>
    <t>Brill / Sense</t>
  </si>
  <si>
    <t>Global Perspectives on Higher Education Ser.</t>
  </si>
  <si>
    <t>Bold Visions in Educational Research Ser.</t>
  </si>
  <si>
    <t>Transgressions: Cultural Studies and Education Ser.</t>
  </si>
  <si>
    <t>Modern Southeast Asia</t>
  </si>
  <si>
    <t>Homi K.Bhabha</t>
  </si>
  <si>
    <t>Huddart, David</t>
  </si>
  <si>
    <t>https://ebookcentral.proquest.com/lib/yzu/detail.action?docID=5292757</t>
  </si>
  <si>
    <t>Science: Physics</t>
  </si>
  <si>
    <t>Engineering; Engineering: Manufacturing</t>
  </si>
  <si>
    <t>Actresses As Working Women : Their Social Identity in Victorian Culture</t>
  </si>
  <si>
    <t>Gender in Performance Ser.</t>
  </si>
  <si>
    <t>Davis, Tracy C.</t>
  </si>
  <si>
    <t>Language/Linguistics; Fine Arts</t>
  </si>
  <si>
    <t>PN2594 -- .D34 1991eb</t>
  </si>
  <si>
    <t>Theater and society -- Great Britain -- History -- 19th century. ; Women in the theater -- Great Britain -- History -- 19th century. ; Actresses -- Great Britain.</t>
  </si>
  <si>
    <t>https://ebookcentral.proquest.com/lib/yzu/detail.action?docID=169519</t>
  </si>
  <si>
    <t>Britain and Tibet 1765-1947 : A Select Annotated Bibliography of British Relations with Tibet and the Himalayan States Including Nepal, Sikkim and Bhutan Revised and Updated To 2003</t>
  </si>
  <si>
    <t xml:space="preserve">Marshall, Julie;Lamb, Alastair </t>
  </si>
  <si>
    <t>Z3185 -- .M37 2005eb</t>
  </si>
  <si>
    <t>Sino-Indian Border Dispute, 1957- -- Bibliography. ; Himalaya Mountains Region -- Foreign relations -- Great Britain -- Bibliography. ; Great Britain -- Foreign relations -- Himalaya Mountains Region -- Bibliography. ; Tibet Autonomous Region (China) -- Foreign relations -- Great Britain -- Bibliography. ; Great Britain -- Foreign relations -- China -- Tibet Autonomous Region -- Bibliography. ; Himalaya Mountains Region -- Bibliography.</t>
  </si>
  <si>
    <t>https://ebookcentral.proquest.com/lib/yzu/detail.action?docID=178415</t>
  </si>
  <si>
    <t>A Dictionary of Epithets and Terms of Address</t>
  </si>
  <si>
    <t>Dunkling, Leslie</t>
  </si>
  <si>
    <t>PE1582.A3 -- D8 2001eb</t>
  </si>
  <si>
    <t>English language -- Address, Forms of -- Dictionaries. ; English language -- Etymology -- Names -- Dictionaries. ; Forms of address -- Dictionaries.</t>
  </si>
  <si>
    <t>https://ebookcentral.proquest.com/lib/yzu/detail.action?docID=179753</t>
  </si>
  <si>
    <t>Life and Death in Healthcare Ethics : A Short Introduction</t>
  </si>
  <si>
    <t>Watt, Helen</t>
  </si>
  <si>
    <t>R724 -- .W346 2000eb</t>
  </si>
  <si>
    <t>174/.24</t>
  </si>
  <si>
    <t>https://ebookcentral.proquest.com/lib/yzu/detail.action?docID=179918</t>
  </si>
  <si>
    <t>The Colonial Rise of the Novel : From Aphra Behn to Charlotte Bronte</t>
  </si>
  <si>
    <t>Azim, Firdous</t>
  </si>
  <si>
    <t>https://ebookcentral.proquest.com/lib/yzu/detail.action?docID=180021</t>
  </si>
  <si>
    <t>Environmental Justice Through Research-Based Decision-Making</t>
  </si>
  <si>
    <t>Routledge Research in Public Administration and Public Policy Ser.</t>
  </si>
  <si>
    <t>Bowen, William M.</t>
  </si>
  <si>
    <t>GE230 -- .B69 2001eb</t>
  </si>
  <si>
    <t>Environmental justice -- United States -- Decision making. ; Environmental policy -- United States -- Decision making.</t>
  </si>
  <si>
    <t>https://ebookcentral.proquest.com/lib/yzu/detail.action?docID=180241</t>
  </si>
  <si>
    <t>Markets for Schooling : An Economic Analysis</t>
  </si>
  <si>
    <t>Routledge Research in Education</t>
  </si>
  <si>
    <t>Adnett, Nick;Davies, Peter</t>
  </si>
  <si>
    <t>Business/Management; Economics; Education</t>
  </si>
  <si>
    <t>LC65 -- .A36 2002eb</t>
  </si>
  <si>
    <t>338.4/737</t>
  </si>
  <si>
    <t>Education -- Economic aspects -- Cross-cultural studies. ; Public schools -- Cross-cultural studies. ; School choice -- Cross-cultural studies. ; Educational change -- Cross-cultural studies.</t>
  </si>
  <si>
    <t>https://ebookcentral.proquest.com/lib/yzu/detail.action?docID=180581</t>
  </si>
  <si>
    <t>Language Processing in Discourse : A Key to Felicitous Translation</t>
  </si>
  <si>
    <t>Routledge Studies in Germanic Linguistics Ser.</t>
  </si>
  <si>
    <t>Doherty, Monika</t>
  </si>
  <si>
    <t>P306.2 -- .D67 2002eb</t>
  </si>
  <si>
    <t>https://ebookcentral.proquest.com/lib/yzu/detail.action?docID=180819</t>
  </si>
  <si>
    <t>Advertising</t>
  </si>
  <si>
    <t>Routledge Introductions to Media and Communications Ser.</t>
  </si>
  <si>
    <t>MacRury, Iain</t>
  </si>
  <si>
    <t>HF5823 -- .M132 2009eb</t>
  </si>
  <si>
    <t>Advertising. ; Sales promotion.</t>
  </si>
  <si>
    <t>https://ebookcentral.proquest.com/lib/yzu/detail.action?docID=182217</t>
  </si>
  <si>
    <t>Acoustic Absorbers and Diffusers : Theory, Design and Application</t>
  </si>
  <si>
    <t>Cox, Trevor J.;D'Antonio, Peter</t>
  </si>
  <si>
    <t>TA365 -- .C69 2004eb</t>
  </si>
  <si>
    <t>Acoustical engineering.</t>
  </si>
  <si>
    <t>https://ebookcentral.proquest.com/lib/yzu/detail.action?docID=182436</t>
  </si>
  <si>
    <t>The Making of the Modern Child : Children's Literature in the Late Eighteenth Century</t>
  </si>
  <si>
    <t>O'Malley, Andrew</t>
  </si>
  <si>
    <t>PR990 -- .O43 2003eb</t>
  </si>
  <si>
    <t>Children's literature, English -- History and criticism. ; English literature -- 18th century -- History and criticism. ; Children -- Books and reading -- Great Britain -- History -- 18th century. ; Children -- Great Britain -- History -- 18th century.</t>
  </si>
  <si>
    <t>https://ebookcentral.proquest.com/lib/yzu/detail.action?docID=182812</t>
  </si>
  <si>
    <t>The Interface of Language, Vision, and Action : Eye Movements and the Visual World</t>
  </si>
  <si>
    <t>Henderson, John;Ferreira, Fernanda</t>
  </si>
  <si>
    <t>BF455 -- .I48 2004eb</t>
  </si>
  <si>
    <t>Psycholinguistics -- Congresses. ; Eye -- Movements -- Congresses. ; Perceptual-motor processes -- Congresses. ; Visual perception -- Congresses.</t>
  </si>
  <si>
    <t>https://ebookcentral.proquest.com/lib/yzu/detail.action?docID=183307</t>
  </si>
  <si>
    <t>Academic Quality Handbook Rb : Enhancing Higher Education in Universities and Further Education Colleges</t>
  </si>
  <si>
    <t>Mcghee, Patrick</t>
  </si>
  <si>
    <t>LB2331.65.G7 -- M35 2003eb</t>
  </si>
  <si>
    <t>Education, Higher -- Great Britain -- Evaluation -- Handbooks, manuals, etc. ; Total quality management in higher education -- Great Britain -- Handbooks, manuals, etc. ; Universities and colleges -- Administration. ; Universities and colleges -- Standards.</t>
  </si>
  <si>
    <t>https://ebookcentral.proquest.com/lib/yzu/detail.action?docID=198406</t>
  </si>
  <si>
    <t>Unequal Childhoods : Young Children's Lives in Poor Countries</t>
  </si>
  <si>
    <t>HQ792.2 -- .P46 2005eb</t>
  </si>
  <si>
    <t>305.23/09172/4</t>
  </si>
  <si>
    <t>Children - Developing countries</t>
  </si>
  <si>
    <t>https://ebookcentral.proquest.com/lib/yzu/detail.action?docID=198471</t>
  </si>
  <si>
    <t>Social and Cognitive Development in the Context of Individual, Social, and Cultural Processes</t>
  </si>
  <si>
    <t>Benson, Janette;Raeff, Catherine</t>
  </si>
  <si>
    <t>HQ772 -- .S58 2003eb</t>
  </si>
  <si>
    <t>https://ebookcentral.proquest.com/lib/yzu/detail.action?docID=198539</t>
  </si>
  <si>
    <t>Digital Integrated Circuits : Analysis and Design</t>
  </si>
  <si>
    <t>Ayers, John E.</t>
  </si>
  <si>
    <t>TK7874.65 .A94 2004eb</t>
  </si>
  <si>
    <t>Digital integrated circuits - Design and construct.</t>
  </si>
  <si>
    <t>https://ebookcentral.proquest.com/lib/yzu/detail.action?docID=198861</t>
  </si>
  <si>
    <t>Analysis and Application of Analog Electronic Circuits to Biomedical Instrumentation</t>
  </si>
  <si>
    <t>Northrop, Robert B.;Northrop, Robert B.</t>
  </si>
  <si>
    <t>Engineering; Medicine; Engineering: Electrical</t>
  </si>
  <si>
    <t>TK7867.N65 2004</t>
  </si>
  <si>
    <t>Electric circuits</t>
  </si>
  <si>
    <t>https://ebookcentral.proquest.com/lib/yzu/detail.action?docID=198921</t>
  </si>
  <si>
    <t>Heritage, Museums and Galleries : An Introductory Reader</t>
  </si>
  <si>
    <t>Corsane, Gerard</t>
  </si>
  <si>
    <t>https://ebookcentral.proquest.com/lib/yzu/detail.action?docID=199390</t>
  </si>
  <si>
    <t>The Travels of an Alchemist : The Journey of the Taoist Ch'ang-Ch'un from China to the Hundukush at the Summons of Chingiz Khan</t>
  </si>
  <si>
    <t xml:space="preserve">Chih-Ch'ang, Li;Waley, Arthur ;Waley, Arthur </t>
  </si>
  <si>
    <t>DS707 -- .C45 2014eb</t>
  </si>
  <si>
    <t>915/.042/092</t>
  </si>
  <si>
    <t>Qiu, Changchun, -- 1148-1227. ; Alchemists -- China -- Biography. ; China -- Description and travel -- Early works to 1800. ; Mongolia -- Description and travel -- Early works to 1800. ; Asia, Central -- Description and travel -- Early works to 1800.</t>
  </si>
  <si>
    <t>https://ebookcentral.proquest.com/lib/yzu/detail.action?docID=199504</t>
  </si>
  <si>
    <t>The Written Language Bias in Linguistics : Its Nature, Origins and Transformations</t>
  </si>
  <si>
    <t>Routledge Advances in Communication and Linguistic Theory Ser.</t>
  </si>
  <si>
    <t>Linell, Per</t>
  </si>
  <si>
    <t>P211 -- .L68 2005eb</t>
  </si>
  <si>
    <t>Written communication. ; Linguistics.</t>
  </si>
  <si>
    <t>https://ebookcentral.proquest.com/lib/yzu/detail.action?docID=199577</t>
  </si>
  <si>
    <t>Theory for Religious Studies</t>
  </si>
  <si>
    <t>Deal, William E.;Beal, Timothy K.</t>
  </si>
  <si>
    <t>BL41 -- .D46 2004eb</t>
  </si>
  <si>
    <t>Religion - Study and teaching - Methodology</t>
  </si>
  <si>
    <t>https://ebookcentral.proquest.com/lib/yzu/detail.action?docID=199665</t>
  </si>
  <si>
    <t>Advanced Applications in Acoustics, Noise and Vibration</t>
  </si>
  <si>
    <t>Fahy, Frank;Walker, John</t>
  </si>
  <si>
    <t>TA365 .A26 2004</t>
  </si>
  <si>
    <t>Acoustical engineering. ; Noise control. ; Vibration.</t>
  </si>
  <si>
    <t>https://ebookcentral.proquest.com/lib/yzu/detail.action?docID=200020</t>
  </si>
  <si>
    <t>Academic Nations in China and Japan : Framed by Concepts of Nature, Culture and the Universal</t>
  </si>
  <si>
    <t>Sleeboom, Margaret</t>
  </si>
  <si>
    <t>DS721 -- .S58 2004eb</t>
  </si>
  <si>
    <t>National characteristics, Chinese. ; National characteristics, Japanese. ; Nationalism -- China. ; Nationalism -- Japan.</t>
  </si>
  <si>
    <t>https://ebookcentral.proquest.com/lib/yzu/detail.action?docID=200382</t>
  </si>
  <si>
    <t>Ageing and Place : Perspectives, Policy, Practice</t>
  </si>
  <si>
    <t>Andrews, Gavin J.;Phillips, David R.</t>
  </si>
  <si>
    <t>HQ1061 -- .A4614 2005eb</t>
  </si>
  <si>
    <t>Gerontology. ; Human geography. ; Older people -- Social conditions. ; Older people -- Services for. ; Age distribution (Demography)</t>
  </si>
  <si>
    <t>https://ebookcentral.proquest.com/lib/yzu/detail.action?docID=200451</t>
  </si>
  <si>
    <t>Generative Grammar : Theory and Its History</t>
  </si>
  <si>
    <t>Freidin, Robert</t>
  </si>
  <si>
    <t>P158 -- .F74 2004eb</t>
  </si>
  <si>
    <t>Generative grammar. ; Linguistics.</t>
  </si>
  <si>
    <t>https://ebookcentral.proquest.com/lib/yzu/detail.action?docID=200631</t>
  </si>
  <si>
    <t>Modern Persian: a Course-Book : A Course-Book</t>
  </si>
  <si>
    <t>Abrahams, Simin</t>
  </si>
  <si>
    <t>PK6237 -- .A27 2005eb</t>
  </si>
  <si>
    <t>Persian language -- Readers.;Persian language -- Textbooks for foreign speakers -- English.</t>
  </si>
  <si>
    <t>https://ebookcentral.proquest.com/lib/yzu/detail.action?docID=200890</t>
  </si>
  <si>
    <t>The Islamic Drama</t>
  </si>
  <si>
    <t>Malekpour, Jamshid</t>
  </si>
  <si>
    <t>PK6422</t>
  </si>
  <si>
    <t>Drama - Iran - History and criticism.</t>
  </si>
  <si>
    <t>https://ebookcentral.proquest.com/lib/yzu/detail.action?docID=200986</t>
  </si>
  <si>
    <t>Children Reading Pictures : Interpreting Visual Texts</t>
  </si>
  <si>
    <t>Arizpe, Evelyn;Styles, Morag</t>
  </si>
  <si>
    <t>LB1067.5 -- .A75 2003eb</t>
  </si>
  <si>
    <t>Children -- Books and reading.;Pictures in education.;Visual learning.</t>
  </si>
  <si>
    <t>https://ebookcentral.proquest.com/lib/yzu/detail.action?docID=201196</t>
  </si>
  <si>
    <t>Input-Based Phonological Acquisition</t>
  </si>
  <si>
    <t>Zamuner, Tania</t>
  </si>
  <si>
    <t>P118 -- .Z358 2003eb</t>
  </si>
  <si>
    <t>Language acquisition. ; Grammar, Comparative and general -- Phonology.</t>
  </si>
  <si>
    <t>https://ebookcentral.proquest.com/lib/yzu/detail.action?docID=214531</t>
  </si>
  <si>
    <t>New Instruments of Environmental Governance? : National Experiences and Prospects</t>
  </si>
  <si>
    <t>Jordan, Andrew;Wurzel, Rudiger K. W.;Zito, Anthony R.</t>
  </si>
  <si>
    <t>GE170 -- .N49 2003eb</t>
  </si>
  <si>
    <t>Environmental policy.</t>
  </si>
  <si>
    <t>https://ebookcentral.proquest.com/lib/yzu/detail.action?docID=214553</t>
  </si>
  <si>
    <t>Analog Circuits and Devices</t>
  </si>
  <si>
    <t>Chen, Wai-Kai;Chen, Wai-Kai</t>
  </si>
  <si>
    <t>TK7870.A529 2003</t>
  </si>
  <si>
    <t>Electronic apparatus and appliances. ; Electronic circuits.</t>
  </si>
  <si>
    <t>https://ebookcentral.proquest.com/lib/yzu/detail.action?docID=214619</t>
  </si>
  <si>
    <t>Actuator Saturation Control</t>
  </si>
  <si>
    <t>Karolos, M. Grigoriadis;Kapil, Vikram</t>
  </si>
  <si>
    <t>TJ223.A25 -- A269 2002eb</t>
  </si>
  <si>
    <t>Actuators.;Control theory.;Linear control systems.;Nonlinear control theory.</t>
  </si>
  <si>
    <t>https://ebookcentral.proquest.com/lib/yzu/detail.action?docID=215916</t>
  </si>
  <si>
    <t>The CAD Guidebook : A Basic Manual for Understanding and Improving Computer-Aided Design</t>
  </si>
  <si>
    <t>Schoonmaker, Stephen J.</t>
  </si>
  <si>
    <t>TA174.S36 2003</t>
  </si>
  <si>
    <t>Computer-aided design -- Handbooks, manuals, etc. ; Engineering design -- Data processing -- Handbooks, manuals, etc.</t>
  </si>
  <si>
    <t>https://ebookcentral.proquest.com/lib/yzu/detail.action?docID=215974</t>
  </si>
  <si>
    <t>Ceramic Fabrication Technology</t>
  </si>
  <si>
    <t>Rice, Roy W.;Rice, Roy W.</t>
  </si>
  <si>
    <t>TP807.R524 2003</t>
  </si>
  <si>
    <t>Ceramics.</t>
  </si>
  <si>
    <t>https://ebookcentral.proquest.com/lib/yzu/detail.action?docID=216011</t>
  </si>
  <si>
    <t>Becoming a Digital Library</t>
  </si>
  <si>
    <t>Books in Library and Information Science Ser.</t>
  </si>
  <si>
    <t>Barnes, Susan J.</t>
  </si>
  <si>
    <t>Digital libraries - Administration</t>
  </si>
  <si>
    <t>https://ebookcentral.proquest.com/lib/yzu/detail.action?docID=216075</t>
  </si>
  <si>
    <t>Robust Control System Design : Advanced State Space Techniques</t>
  </si>
  <si>
    <t>Tsui, Chia-Chi</t>
  </si>
  <si>
    <t>TJ216 -- .T79 2004eb</t>
  </si>
  <si>
    <t>629.8/3</t>
  </si>
  <si>
    <t>Feedback control systems -- Design and construction.;Control theory.</t>
  </si>
  <si>
    <t>https://ebookcentral.proquest.com/lib/yzu/detail.action?docID=216147</t>
  </si>
  <si>
    <t>Biomolecular Films : Design, Function, and Applications</t>
  </si>
  <si>
    <t>Rusling, James F.</t>
  </si>
  <si>
    <t>TP248.25.M45 -- B564 2003eb</t>
  </si>
  <si>
    <t>Membrane reactors. ; Biosensors. ; Monomolecular films. ; Biofilms.</t>
  </si>
  <si>
    <t>https://ebookcentral.proquest.com/lib/yzu/detail.action?docID=216266</t>
  </si>
  <si>
    <t>Manufacturing : Design, Production, Automation, and Integration</t>
  </si>
  <si>
    <t>Manufacturing Engineering and Materials Processing</t>
  </si>
  <si>
    <t>Benhabib, Beno</t>
  </si>
  <si>
    <t>Engineering: Manufacturing; Engineering; Business/Management</t>
  </si>
  <si>
    <t>TS176.B46x 2003eb</t>
  </si>
  <si>
    <t>670.4/2</t>
  </si>
  <si>
    <t>Computer integrated manufacturing systems. ; Production engineering.</t>
  </si>
  <si>
    <t>https://ebookcentral.proquest.com/lib/yzu/detail.action?docID=216362</t>
  </si>
  <si>
    <t>Adsorption and Aggregation of Surfactants in Solution</t>
  </si>
  <si>
    <t>Mittal, K. L.;Shah, Dinesh O.;Mittal, K.L.;Shah, Dinesh O.</t>
  </si>
  <si>
    <t>Engineering: Chemical; Science: Chemistry; Engineering; Science</t>
  </si>
  <si>
    <t>TP994.I582 2000</t>
  </si>
  <si>
    <t>541.3/3</t>
  </si>
  <si>
    <t>Surface active agents -- Congresses. ; Adsorption -- Congresses. ; Aggregation (Chemistry) -- Congresses.</t>
  </si>
  <si>
    <t>https://ebookcentral.proquest.com/lib/yzu/detail.action?docID=216425</t>
  </si>
  <si>
    <t>Reactions and Synthesis in Surfactant Systems</t>
  </si>
  <si>
    <t>Surfactant Science</t>
  </si>
  <si>
    <t>Texter, John</t>
  </si>
  <si>
    <t>TP994.R42 2001</t>
  </si>
  <si>
    <t>Surface active agents.;Surface chemistry.</t>
  </si>
  <si>
    <t>https://ebookcentral.proquest.com/lib/yzu/detail.action?docID=216436</t>
  </si>
  <si>
    <t>Novel Surfactants : Preparation Applications and Biodegradability, Second Edition, Revised and Expanded</t>
  </si>
  <si>
    <t>Holmberg, Krister</t>
  </si>
  <si>
    <t>TP994 -- .N68 2003eb</t>
  </si>
  <si>
    <t>Surface active agents.</t>
  </si>
  <si>
    <t>https://ebookcentral.proquest.com/lib/yzu/detail.action?docID=216437</t>
  </si>
  <si>
    <t>Thermodynamic Cycles : Computer-Aided Design and Optimization</t>
  </si>
  <si>
    <t>Wu, Chih</t>
  </si>
  <si>
    <t>TJ265 .W825 2004eb</t>
  </si>
  <si>
    <t>621.402/1/0285</t>
  </si>
  <si>
    <t>Computer-aided engineering.;Thermodynamics.</t>
  </si>
  <si>
    <t>https://ebookcentral.proquest.com/lib/yzu/detail.action?docID=216446</t>
  </si>
  <si>
    <t>Semiconductor Laser Fundamentals</t>
  </si>
  <si>
    <t>Suhara, Toshiaki</t>
  </si>
  <si>
    <t>TA1700 -- .S84 2004eb</t>
  </si>
  <si>
    <t>Semiconductor lasers.</t>
  </si>
  <si>
    <t>https://ebookcentral.proquest.com/lib/yzu/detail.action?docID=216495</t>
  </si>
  <si>
    <t>Empty Justice : One Hundred Years of Law Literature and Philosophy</t>
  </si>
  <si>
    <t>Williams, Melanie</t>
  </si>
  <si>
    <t>PN56 .L33 -- W48 2002eb</t>
  </si>
  <si>
    <t>Law in literature. ; Law and literature. ; Feminist jurisprudence. ; Law -- Philosophy.</t>
  </si>
  <si>
    <t>https://ebookcentral.proquest.com/lib/yzu/detail.action?docID=220317</t>
  </si>
  <si>
    <t>Against Common Sense : Teaching and Learning Toward Social Justice</t>
  </si>
  <si>
    <t>Kumashiro, Kevin</t>
  </si>
  <si>
    <t>LC213.2.K86 2004eb</t>
  </si>
  <si>
    <t>Educational equalization-- United States.</t>
  </si>
  <si>
    <t>https://ebookcentral.proquest.com/lib/yzu/detail.action?docID=241749</t>
  </si>
  <si>
    <t>Architects' Guide to Fee Bidding</t>
  </si>
  <si>
    <t>Nicholson, M. Paul</t>
  </si>
  <si>
    <t>NA1996 -- .N53 2003eb</t>
  </si>
  <si>
    <t>Architects -- Fees. ; Architectural contracts -- Estimates. ; Letting of contracts.</t>
  </si>
  <si>
    <t>https://ebookcentral.proquest.com/lib/yzu/detail.action?docID=243117</t>
  </si>
  <si>
    <t>What Scientists Think</t>
  </si>
  <si>
    <t xml:space="preserve">Stangroom, Jeremy;Kohn, Marek </t>
  </si>
  <si>
    <t>QH309 -- .W44 2005eb</t>
  </si>
  <si>
    <t>Life sciences -- Popular works. ; Science -- Popular works. ; Scientists.</t>
  </si>
  <si>
    <t>https://ebookcentral.proquest.com/lib/yzu/detail.action?docID=243362</t>
  </si>
  <si>
    <t>Natural Arsenic in Groundwater : Occurrence, Remediation and Management : Proceedings of the Pre-Congress Workshop Natural Arsenic in Groundwater (BWO 06) 32nd International Geological Congress, Florence, Italy, 18-19 August 2004</t>
  </si>
  <si>
    <t>Chandrasekharam, D.;Bhattacharaya, Prosun;Bundschuh, Jochen</t>
  </si>
  <si>
    <t>TD427.A77.N38 2005</t>
  </si>
  <si>
    <t>Groundwater -- Pollution -- Congresses.;Arsenic -- Environmental aspects -- Congresses.;Arsenic -- Health aspects -- Congresses.;Water quality management -- Congresses.</t>
  </si>
  <si>
    <t>https://ebookcentral.proquest.com/lib/yzu/detail.action?docID=254351</t>
  </si>
  <si>
    <t>Buddhist Studies from India to America : Essays in Honor of Charles S. Prebish</t>
  </si>
  <si>
    <t>BQ12 -- .B818 2006eb</t>
  </si>
  <si>
    <t>Buddhism</t>
  </si>
  <si>
    <t>https://ebookcentral.proquest.com/lib/yzu/detail.action?docID=254362</t>
  </si>
  <si>
    <t>Understanding International Art Markets and Management</t>
  </si>
  <si>
    <t>Robertson, Iain</t>
  </si>
  <si>
    <t>N8600 -- .U53 2005eb</t>
  </si>
  <si>
    <t>Arts - Economic aspects</t>
  </si>
  <si>
    <t>https://ebookcentral.proquest.com/lib/yzu/detail.action?docID=254449</t>
  </si>
  <si>
    <t>Research Ethics</t>
  </si>
  <si>
    <t>Smith Iltis, Ana</t>
  </si>
  <si>
    <t>Philosophy; Medicine</t>
  </si>
  <si>
    <t>R853.H8 -- R45 2006eb</t>
  </si>
  <si>
    <t>Biomedical Research - ethics</t>
  </si>
  <si>
    <t>https://ebookcentral.proquest.com/lib/yzu/detail.action?docID=254455</t>
  </si>
  <si>
    <t>Ethical Issues and Guidelines in Psychology</t>
  </si>
  <si>
    <t>Banyard, Philip;Flanagan, Cara</t>
  </si>
  <si>
    <t>BF76.4 -- .B36 2005eb</t>
  </si>
  <si>
    <t>Psychology -- Research -- Moral and ethical aspects. ; Psychology -- Moral and ethical aspects. ; Psychologists -- Professional ethics.</t>
  </si>
  <si>
    <t>https://ebookcentral.proquest.com/lib/yzu/detail.action?docID=257003</t>
  </si>
  <si>
    <t>Cultures in Conversation</t>
  </si>
  <si>
    <t>Routledge Communication Ser.</t>
  </si>
  <si>
    <t>Carbaugh, Donal</t>
  </si>
  <si>
    <t>P94.6.C37 2005eb</t>
  </si>
  <si>
    <t>Intercultural communication. ; Conversation analysis.</t>
  </si>
  <si>
    <t>https://ebookcentral.proquest.com/lib/yzu/detail.action?docID=257310</t>
  </si>
  <si>
    <t>Civilizing the Museum : The Collected Writings of Elaine Heumann Gurian</t>
  </si>
  <si>
    <t>Heumann Gurian, Elaine</t>
  </si>
  <si>
    <t>AM7 -- .G87 2006eb</t>
  </si>
  <si>
    <t>Museums - Philosophy</t>
  </si>
  <si>
    <t>https://ebookcentral.proquest.com/lib/yzu/detail.action?docID=259062</t>
  </si>
  <si>
    <t>The Routledge Dictionary of Literary Terms</t>
  </si>
  <si>
    <t>Routledge Dictionaries Ser.</t>
  </si>
  <si>
    <t>Childs, Peter;Fowler, Roger</t>
  </si>
  <si>
    <t>PN41 -- .D4795 2006eb</t>
  </si>
  <si>
    <t>Literature -- Terminology -- Dictionaries. ; English language -- Terms and phrases -- Dictionaries. ; Literary form -- Terminology -- Dictionaries. ; Criticism -- Terminology -- Dictionaries.</t>
  </si>
  <si>
    <t>https://ebookcentral.proquest.com/lib/yzu/detail.action?docID=261297</t>
  </si>
  <si>
    <t>Applying Social Cognition to Consumer-Focused Strategy</t>
  </si>
  <si>
    <t>Advertising and Consumer Psychology Ser.</t>
  </si>
  <si>
    <t>Kardes, Frank R.;Herr, Paul M.;Nantel, Jacques</t>
  </si>
  <si>
    <t>HF5415.32 -- .C66 2005eb</t>
  </si>
  <si>
    <t>Consumer behavior -- Congresses. ; Marketing -- Psychological aspects -- Congresses. ; Advertising -- Psychological aspects -- Congresses. ; Cognition -- Social aspects -- Congresses.</t>
  </si>
  <si>
    <t>https://ebookcentral.proquest.com/lib/yzu/detail.action?docID=261423</t>
  </si>
  <si>
    <t>Aesthetic Experience in Science Education : Learning and Meaning-Making As Situated Talk and Action</t>
  </si>
  <si>
    <t>Teaching and Learning in Science Ser.</t>
  </si>
  <si>
    <t>Wickman, Per-Olof</t>
  </si>
  <si>
    <t>Q181 -- .W53 2006eb</t>
  </si>
  <si>
    <t>Science -- Study and teaching -- Methodology. ; Aesthetics.</t>
  </si>
  <si>
    <t>https://ebookcentral.proquest.com/lib/yzu/detail.action?docID=261424</t>
  </si>
  <si>
    <t>Ideas and Options in English for Specific Purposes</t>
  </si>
  <si>
    <t>ESL and Applied Linguistics Professional Ser.</t>
  </si>
  <si>
    <t>Basturkmen, Helen</t>
  </si>
  <si>
    <t>PE1128.A2 -- B317 2006eb</t>
  </si>
  <si>
    <t>English language -- Study and teaching (Higher) -- Foreign speakers. ; English language -- Business English -- Study and teaching (Higher) ; English language -- Technical English -- Study and teaching (Higher)</t>
  </si>
  <si>
    <t>https://ebookcentral.proquest.com/lib/yzu/detail.action?docID=274514</t>
  </si>
  <si>
    <t>Classroom Authority : Theory, Research, and Practice</t>
  </si>
  <si>
    <t>Pace, Judith L.;Hemmings, Annette;Bixby, Janet</t>
  </si>
  <si>
    <t>LB3013 -- .C526 2006eb</t>
  </si>
  <si>
    <t>Classroom management -- United States.</t>
  </si>
  <si>
    <t>https://ebookcentral.proquest.com/lib/yzu/detail.action?docID=274533</t>
  </si>
  <si>
    <t>Preparing Quality Educators for English Language Learners : Research, Policy, and Practice</t>
  </si>
  <si>
    <t>Téllez, Kip;Waxman, Hersh C.;Calderon, Margarita</t>
  </si>
  <si>
    <t>LB1715 -- .P725 2006eb</t>
  </si>
  <si>
    <t>English teachers -- Training of -- United States. ; English language -- Study and teaching -- United States. ; Teacher effectiveness -- United States. ; Education and state -- United States.</t>
  </si>
  <si>
    <t>https://ebookcentral.proquest.com/lib/yzu/detail.action?docID=274544</t>
  </si>
  <si>
    <t>A Nation of a Hundred Million Idiots? : A Social History of Japanese Television, 1953 - 1973</t>
  </si>
  <si>
    <t>East Asia: History, Politics, Sociology and Culture Ser.</t>
  </si>
  <si>
    <t>Chun, Jayson Makoto;Chun, Jayson Makoto</t>
  </si>
  <si>
    <t>PN1992.3.J3 -- C49 2007eb</t>
  </si>
  <si>
    <t>Television broadcasting -- Japan -- History. ; Television broadcasting -- Social aspects -- Japan.</t>
  </si>
  <si>
    <t>https://ebookcentral.proquest.com/lib/yzu/detail.action?docID=291373</t>
  </si>
  <si>
    <t>Media/Theory : Thinking about Media and Communications</t>
  </si>
  <si>
    <t>Moores, Shaun</t>
  </si>
  <si>
    <t>P90 -- .M57 2005eb</t>
  </si>
  <si>
    <t>Mass media -- Philosophy.</t>
  </si>
  <si>
    <t>https://ebookcentral.proquest.com/lib/yzu/detail.action?docID=308524</t>
  </si>
  <si>
    <t>Media and Cultural Theory</t>
  </si>
  <si>
    <t>Curran, James;Morley, David</t>
  </si>
  <si>
    <t>P94.6 -- .M4 2006eb</t>
  </si>
  <si>
    <t>Mass media and culture. ; Intercultural communication.</t>
  </si>
  <si>
    <t>https://ebookcentral.proquest.com/lib/yzu/detail.action?docID=308543</t>
  </si>
  <si>
    <t>Being an e-Learner in Health and Social Care : A Student's Guide</t>
  </si>
  <si>
    <t>Santy, Julie;Smith, Liz</t>
  </si>
  <si>
    <t>R837.C6 -- S36 2007eb</t>
  </si>
  <si>
    <t>Health Occupations - education</t>
  </si>
  <si>
    <t>https://ebookcentral.proquest.com/lib/yzu/detail.action?docID=308545</t>
  </si>
  <si>
    <t>Buddhist Rituals of Death and Rebirth : Contemporary Sri Lankan Practice and Its Origins</t>
  </si>
  <si>
    <t>Langer, Rita</t>
  </si>
  <si>
    <t>BQ4990.S74 -- L36 2007eb</t>
  </si>
  <si>
    <t>294.3/4388095493</t>
  </si>
  <si>
    <t>Buddhism -- Sri Lanka -- Rituals. ; Buddhist funeral rites and ceremonies -- Sri Lanka. ; Death -- Religious aspects -- Theravada Buddhism. ; Sri Lanka -- Religious life and customs.</t>
  </si>
  <si>
    <t>https://ebookcentral.proquest.com/lib/yzu/detail.action?docID=308835</t>
  </si>
  <si>
    <t>Cognitive Development : Neo-Piagetian Perspectives</t>
  </si>
  <si>
    <t xml:space="preserve">Morra, Sergio;Gobbo, Camilla;Marini, Zopito;Sheese, Ronald </t>
  </si>
  <si>
    <t>BF723.C5 -- C633 2008eb</t>
  </si>
  <si>
    <t>Piaget, Jean, -- 1896-1980. ; Cognition in children. ; Constructivism (Education)</t>
  </si>
  <si>
    <t>https://ebookcentral.proquest.com/lib/yzu/detail.action?docID=309840</t>
  </si>
  <si>
    <t>Arabic-English Thematic Lexicon</t>
  </si>
  <si>
    <t>Newman, Daniel L.</t>
  </si>
  <si>
    <t>PJ6640 -- .N46 2007eb</t>
  </si>
  <si>
    <t>Arabic language - English</t>
  </si>
  <si>
    <t>https://ebookcentral.proquest.com/lib/yzu/detail.action?docID=324931</t>
  </si>
  <si>
    <t>Critical Architecture</t>
  </si>
  <si>
    <t xml:space="preserve">Rendell, Jane;Hill, Jonathan;Dorrian, Mark;Fraser, Murray </t>
  </si>
  <si>
    <t>NA2599.5 -- .C75 2007eb</t>
  </si>
  <si>
    <t>Architectural criticism. ; Architectural design.</t>
  </si>
  <si>
    <t>https://ebookcentral.proquest.com/lib/yzu/detail.action?docID=324967</t>
  </si>
  <si>
    <t>Tourism and Responsibility : Perspectives from Latin America and the Caribbean</t>
  </si>
  <si>
    <t>Mowforth, Martin;Charlton, Clive;Munt, Ian</t>
  </si>
  <si>
    <t>G155.L3 -- M69 2008eb</t>
  </si>
  <si>
    <t>338.4/7918</t>
  </si>
  <si>
    <t>Tourism -- Latin America. ; Tourism -- Caribbean Area. ; Tourism -- Government policy -- Latin America. ; Tourism -- Government policy -- Caribbean Area. ; Tourism -- Environmental aspects -- Latin America. ; Tourism -- Environmental aspects -- Caribbean Area.</t>
  </si>
  <si>
    <t>https://ebookcentral.proquest.com/lib/yzu/detail.action?docID=325056</t>
  </si>
  <si>
    <t>The Discourse of Broadcast News : A Linguistic Approach</t>
  </si>
  <si>
    <t>Montgomery, Martin</t>
  </si>
  <si>
    <t>P96.L34 -- M66 2007eb</t>
  </si>
  <si>
    <t>Mass media and language</t>
  </si>
  <si>
    <t>https://ebookcentral.proquest.com/lib/yzu/detail.action?docID=325107</t>
  </si>
  <si>
    <t>Thinking on Screen : Film As Philosophy</t>
  </si>
  <si>
    <t>Wartenberg, Thomas E.</t>
  </si>
  <si>
    <t>PN1995.9.P42 -- W37 2007eb</t>
  </si>
  <si>
    <t>Philosophy in motion pictures. ; Motion pictures.</t>
  </si>
  <si>
    <t>https://ebookcentral.proquest.com/lib/yzu/detail.action?docID=325117</t>
  </si>
  <si>
    <t>Tourism, Creativity and Development</t>
  </si>
  <si>
    <t>Richards, Greg;Wilson, Julie</t>
  </si>
  <si>
    <t>G155.A1 -- T68 2007eb</t>
  </si>
  <si>
    <t>https://ebookcentral.proquest.com/lib/yzu/detail.action?docID=325156</t>
  </si>
  <si>
    <t>Islamic Culture Through Jewish Eyes : Al-Andalus from the Tenth to Twelfth Century</t>
  </si>
  <si>
    <t>Alfonso, Esperanza</t>
  </si>
  <si>
    <t>PJ5016 -- .A54 2008eb</t>
  </si>
  <si>
    <t>892.4/0938297</t>
  </si>
  <si>
    <t>Hebrew literature, Medieval - Andalusia (Spain) - History and criticism</t>
  </si>
  <si>
    <t>https://ebookcentral.proquest.com/lib/yzu/detail.action?docID=325202</t>
  </si>
  <si>
    <t>Physical Theatres: A Critical Introduction : A Critical Introduction</t>
  </si>
  <si>
    <t>Murray, Simon;Keefe, John</t>
  </si>
  <si>
    <t>PN2071.M6 -- M87 2007eb</t>
  </si>
  <si>
    <t>Movement (Acting);Mime.;Dance.</t>
  </si>
  <si>
    <t>https://ebookcentral.proquest.com/lib/yzu/detail.action?docID=325208</t>
  </si>
  <si>
    <t>Aesthetic Experience</t>
  </si>
  <si>
    <t>Shusterman, Richard;Tomlin, Adele</t>
  </si>
  <si>
    <t>BH301.E8 -- A36 2007eb</t>
  </si>
  <si>
    <t>Aesthetics. ; Experience.</t>
  </si>
  <si>
    <t>https://ebookcentral.proquest.com/lib/yzu/detail.action?docID=325222</t>
  </si>
  <si>
    <t>Ecotourism Third Edition</t>
  </si>
  <si>
    <t>G156.5.E26.F46 2008</t>
  </si>
  <si>
    <t>https://ebookcentral.proquest.com/lib/yzu/detail.action?docID=325234</t>
  </si>
  <si>
    <t>Group Dynamics in Exercise and Sport Psychology : Contemporary Themes</t>
  </si>
  <si>
    <t>Beauchamp, Mark R.;Eys, Mark A.</t>
  </si>
  <si>
    <t>GV706.4 -- .G76 2007eb</t>
  </si>
  <si>
    <t>Sports -- Sociological aspects.;Sports -- Psychological aspects.;Exercise -- Sociological aspects.;Exercise -- Psychological aspects.;Social groups.</t>
  </si>
  <si>
    <t>https://ebookcentral.proquest.com/lib/yzu/detail.action?docID=325269</t>
  </si>
  <si>
    <t>Changing Organizational Culture : Cultural Change Work in Progress</t>
  </si>
  <si>
    <t>Alvesson, Mats;Sveningsson, Stefan</t>
  </si>
  <si>
    <t>HD58.7 -- .A58 2008eb</t>
  </si>
  <si>
    <t>https://ebookcentral.proquest.com/lib/yzu/detail.action?docID=325280</t>
  </si>
  <si>
    <t>Landscape Theory</t>
  </si>
  <si>
    <t>The Art Seminar Ser.</t>
  </si>
  <si>
    <t>DeLue, Rachel;Elkins, James</t>
  </si>
  <si>
    <t>NX650.L34 -- L36 2007eb</t>
  </si>
  <si>
    <t>Landscapes in art. ; Arts. ; Landscapes.</t>
  </si>
  <si>
    <t>https://ebookcentral.proquest.com/lib/yzu/detail.action?docID=325350</t>
  </si>
  <si>
    <t>Cognition and Emotion : From Order to Disorder</t>
  </si>
  <si>
    <t>Power, Mick;Dalgleish, Tim</t>
  </si>
  <si>
    <t>BF531 -- .P69 2008eb</t>
  </si>
  <si>
    <t>Emotions and cognition.;Cognitive psychology.;Psychotherapy.</t>
  </si>
  <si>
    <t>https://ebookcentral.proquest.com/lib/yzu/detail.action?docID=325372</t>
  </si>
  <si>
    <t>Media and Ethnic Identity : Hopi Views on Media, Identity, and Communication</t>
  </si>
  <si>
    <t>Indigenous Peoples and Politics Ser.</t>
  </si>
  <si>
    <t>Levo-Henriksson, Ritva</t>
  </si>
  <si>
    <t>E99.H7 -- L48 2007eb</t>
  </si>
  <si>
    <t>Hopi Indians -- Public opinion. ; Hopi Indians -- Ethnic identity. ; Indians in mass media. ; Public opinion -- United States. ; United States -- Ethnic relations. ; United States -- Race relations.</t>
  </si>
  <si>
    <t>https://ebookcentral.proquest.com/lib/yzu/detail.action?docID=325387</t>
  </si>
  <si>
    <t>Materials, Specification and Detailing : Foundations of Building Design</t>
  </si>
  <si>
    <t>Wienand, Norman;Zunde, Joan</t>
  </si>
  <si>
    <t>NA2750 -- .W54 2008eb</t>
  </si>
  <si>
    <t>Architectural design. ; Building materials. ; Buildings -- Specifications.</t>
  </si>
  <si>
    <t>https://ebookcentral.proquest.com/lib/yzu/detail.action?docID=325408</t>
  </si>
  <si>
    <t>American Icons : The Genesis of a National Visual Language</t>
  </si>
  <si>
    <t>Feldges, Benedikt</t>
  </si>
  <si>
    <t>PN1995 -- .F397 2008eb</t>
  </si>
  <si>
    <t>Motion pictures -- Semiotics. ; Television -- Semiotics.</t>
  </si>
  <si>
    <t>https://ebookcentral.proquest.com/lib/yzu/detail.action?docID=325479</t>
  </si>
  <si>
    <t>Guide to Publishing a Scientific Paper</t>
  </si>
  <si>
    <t xml:space="preserve">Körner, Ann M.;Kerner, Ann ;Keorner, Ann M </t>
  </si>
  <si>
    <t>T11 -- .K68 2008eb</t>
  </si>
  <si>
    <t>Technical publishing</t>
  </si>
  <si>
    <t>https://ebookcentral.proquest.com/lib/yzu/detail.action?docID=325505</t>
  </si>
  <si>
    <t>An Actor's Work : A Student's Diary</t>
  </si>
  <si>
    <t>Stanislavski, Konstantin;Benedetti, Jean</t>
  </si>
  <si>
    <t>PN2062 -- .S7613 2008eb</t>
  </si>
  <si>
    <t>Method (Acting)</t>
  </si>
  <si>
    <t>https://ebookcentral.proquest.com/lib/yzu/detail.action?docID=325509</t>
  </si>
  <si>
    <t>Museums and Education : Purpose, Pedagogy, Performance</t>
  </si>
  <si>
    <t>Hooper-Greenhill, Eilean</t>
  </si>
  <si>
    <t>AM7 -- .H66 2008eb</t>
  </si>
  <si>
    <t>Museums - Educational aspects</t>
  </si>
  <si>
    <t>https://ebookcentral.proquest.com/lib/yzu/detail.action?docID=325524</t>
  </si>
  <si>
    <t>East Asian Regionalism</t>
  </si>
  <si>
    <t>Dent, Christopher M.</t>
  </si>
  <si>
    <t>HC460.5 -- .D45 2008eb</t>
  </si>
  <si>
    <t>Regionalism -- East Asia.;East Asia -- Economic policy.</t>
  </si>
  <si>
    <t>https://ebookcentral.proquest.com/lib/yzu/detail.action?docID=327280</t>
  </si>
  <si>
    <t>Perseus</t>
  </si>
  <si>
    <t>Gods and Heroes of the Ancient World Ser.</t>
  </si>
  <si>
    <t>Ogden, Daniel</t>
  </si>
  <si>
    <t>BL820.P5 -- O33 2008eb</t>
  </si>
  <si>
    <t>292.2/13</t>
  </si>
  <si>
    <t>Perseus (Greek mythology)</t>
  </si>
  <si>
    <t>https://ebookcentral.proquest.com/lib/yzu/detail.action?docID=327289</t>
  </si>
  <si>
    <t>International Business and Tourism : Global Issues, Contemporary Interactions</t>
  </si>
  <si>
    <t>Routledge International Series in Tourism, Business and Management</t>
  </si>
  <si>
    <t>Coles, Tim;Hall, C. Michael</t>
  </si>
  <si>
    <t>HF1379 -- .I58 2008eb</t>
  </si>
  <si>
    <t>Tourism. ; International trade. ; Electronic books.</t>
  </si>
  <si>
    <t>https://ebookcentral.proquest.com/lib/yzu/detail.action?docID=327292</t>
  </si>
  <si>
    <t>Tourism and Innovation</t>
  </si>
  <si>
    <t>Hall, Michael C.;Williams, Allan</t>
  </si>
  <si>
    <t>G155.A1 -- H346 2008eb</t>
  </si>
  <si>
    <t>Tourism - Management</t>
  </si>
  <si>
    <t>https://ebookcentral.proquest.com/lib/yzu/detail.action?docID=327301</t>
  </si>
  <si>
    <t>Handbook of Cognitive Linguistics and Second Language Acquisition</t>
  </si>
  <si>
    <t>Robinson, Peter;Ellis, Nick C.</t>
  </si>
  <si>
    <t>P165 -- .H36 2008eb</t>
  </si>
  <si>
    <t>https://ebookcentral.proquest.com/lib/yzu/detail.action?docID=327304</t>
  </si>
  <si>
    <t>The Cultural Geography Reader</t>
  </si>
  <si>
    <t>Oakes, Timothy;Price, Patricia L.</t>
  </si>
  <si>
    <t>GF43 -- .C85 2008eb</t>
  </si>
  <si>
    <t>https://ebookcentral.proquest.com/lib/yzu/detail.action?docID=327332</t>
  </si>
  <si>
    <t>Tourism at the Grassroots : Villagers and Visitors in the Asia-Pacific</t>
  </si>
  <si>
    <t>Contemporary Geographies of Leisure, Tourism and Mobility</t>
  </si>
  <si>
    <t>Connell, John;Rugendyke, Barbara</t>
  </si>
  <si>
    <t>G155.P25 -- T64 2008eb</t>
  </si>
  <si>
    <t>Tourism -- Social aspects -- Pacific Area.</t>
  </si>
  <si>
    <t>https://ebookcentral.proquest.com/lib/yzu/detail.action?docID=327335</t>
  </si>
  <si>
    <t>Psychoanalysis Comparable and Incomparable : The Evolution of a Method to Describe and Compare Psychoanalytic Approaches</t>
  </si>
  <si>
    <t>Tuckett, David</t>
  </si>
  <si>
    <t>RC504 -- .P755 2008eb</t>
  </si>
  <si>
    <t>616.89/17</t>
  </si>
  <si>
    <t>Psychoanalysis - standards</t>
  </si>
  <si>
    <t>https://ebookcentral.proquest.com/lib/yzu/detail.action?docID=327343</t>
  </si>
  <si>
    <t>Modern Persian Literature in Afghanistan : Anomalous Visions of History and Form</t>
  </si>
  <si>
    <t>Iranian Studies</t>
  </si>
  <si>
    <t>Ahmadi, Wali</t>
  </si>
  <si>
    <t>PK6427.6.A3 -- A33 2008eb</t>
  </si>
  <si>
    <t>891/.55099581</t>
  </si>
  <si>
    <t>Politics and literature - Afghanistan</t>
  </si>
  <si>
    <t>https://ebookcentral.proquest.com/lib/yzu/detail.action?docID=330975</t>
  </si>
  <si>
    <t>Corporate Governance Around the World</t>
  </si>
  <si>
    <t>Routledge Studies in Corporate Governance</t>
  </si>
  <si>
    <t>Naciri, Ahmed</t>
  </si>
  <si>
    <t>HD2741 -- .C77496 2008eb</t>
  </si>
  <si>
    <t>Corporate governance -- Case studies. ; Corporate governance -- Government policy -- Case studies.</t>
  </si>
  <si>
    <t>https://ebookcentral.proquest.com/lib/yzu/detail.action?docID=330978</t>
  </si>
  <si>
    <t>Improving Testing for English Language Learners</t>
  </si>
  <si>
    <t>Kopriva, Rebecca</t>
  </si>
  <si>
    <t>PE1128.A2 -- K66 2008eb</t>
  </si>
  <si>
    <t>Test of English as a Foreign Language - Validity</t>
  </si>
  <si>
    <t>https://ebookcentral.proquest.com/lib/yzu/detail.action?docID=330980</t>
  </si>
  <si>
    <t>Cities and Cinema</t>
  </si>
  <si>
    <t>Routledge Critical Introductions to Urbanism and the City Ser.</t>
  </si>
  <si>
    <t>Mennel, Barbara</t>
  </si>
  <si>
    <t>PN1995.9.C513 -- M46 2008eb</t>
  </si>
  <si>
    <t>Cities and towns in motion pictures</t>
  </si>
  <si>
    <t>https://ebookcentral.proquest.com/lib/yzu/detail.action?docID=330990</t>
  </si>
  <si>
    <t>From Nursery Rhymes to Nationhood : Children's Literature and the Construction of Canadian Identity</t>
  </si>
  <si>
    <t>Galway, Elizabeth</t>
  </si>
  <si>
    <t>PR9193.9 -- .G35 2008eb</t>
  </si>
  <si>
    <t>Literature and society - Canada - History</t>
  </si>
  <si>
    <t>https://ebookcentral.proquest.com/lib/yzu/detail.action?docID=331049</t>
  </si>
  <si>
    <t>Industrial Innovation in Japan</t>
  </si>
  <si>
    <t>Hara, Takuji;Kambayashi, Norio;Matsushima, Noboru</t>
  </si>
  <si>
    <t>HC465.T4 -- I44 2008eb</t>
  </si>
  <si>
    <t>Technological innovations -- Japan. ; Industries -- Technological innovations -- Japan -- Case studies.</t>
  </si>
  <si>
    <t>https://ebookcentral.proquest.com/lib/yzu/detail.action?docID=331057</t>
  </si>
  <si>
    <t>Research With Children : Perspectives and Practices</t>
  </si>
  <si>
    <t>Christensen, Pia;James, Allison</t>
  </si>
  <si>
    <t>HQ767.85 -- .R48 2008eb</t>
  </si>
  <si>
    <t>Adolescent psychology - Research</t>
  </si>
  <si>
    <t>https://ebookcentral.proquest.com/lib/yzu/detail.action?docID=332067</t>
  </si>
  <si>
    <t>The Family in English Children's Literature</t>
  </si>
  <si>
    <t>Alston, Ann</t>
  </si>
  <si>
    <t>PR830.C513 -- A67 2008eb</t>
  </si>
  <si>
    <t>Families in literature</t>
  </si>
  <si>
    <t>https://ebookcentral.proquest.com/lib/yzu/detail.action?docID=332071</t>
  </si>
  <si>
    <t>Museums and Community : Ideas, Issues and Challenges</t>
  </si>
  <si>
    <t>Crooke, Elizabeth</t>
  </si>
  <si>
    <t>AM7 -- .C76 2007eb</t>
  </si>
  <si>
    <t>Museums - Social aspects</t>
  </si>
  <si>
    <t>https://ebookcentral.proquest.com/lib/yzu/detail.action?docID=332072</t>
  </si>
  <si>
    <t>Researching Trust and Health</t>
  </si>
  <si>
    <t>Routledge Studies in Health and Social Welfare Ser.</t>
  </si>
  <si>
    <t>Brownlie, Julie;Greene, Alexandra;Howson, Alexandra</t>
  </si>
  <si>
    <t>R725.5 -- .R47 2008eb</t>
  </si>
  <si>
    <t>Nurse-Patient Relations</t>
  </si>
  <si>
    <t>https://ebookcentral.proquest.com/lib/yzu/detail.action?docID=332074</t>
  </si>
  <si>
    <t>Japanese-Russian Relations, 1907-2007</t>
  </si>
  <si>
    <t>Ferguson, Joseph</t>
  </si>
  <si>
    <t>DK68.7.J3 -- F47 2008eb</t>
  </si>
  <si>
    <t>Japan - Foreign relations - Russia</t>
  </si>
  <si>
    <t>https://ebookcentral.proquest.com/lib/yzu/detail.action?docID=332078</t>
  </si>
  <si>
    <t>Advances in Discourse Studies</t>
  </si>
  <si>
    <t>Bhatia, Vijay;Flowerdew, John;Jones, Rodney H.</t>
  </si>
  <si>
    <t>P302 -- .A324 2008eb</t>
  </si>
  <si>
    <t>https://ebookcentral.proquest.com/lib/yzu/detail.action?docID=332086</t>
  </si>
  <si>
    <t>English Writing and India, 1600-1920 : Colonizing Aesthetics</t>
  </si>
  <si>
    <t>K. Nayar, Pramod</t>
  </si>
  <si>
    <t>PR149.I6 -- N39 2008eb</t>
  </si>
  <si>
    <t>Exoticism in literature</t>
  </si>
  <si>
    <t>https://ebookcentral.proquest.com/lib/yzu/detail.action?docID=332358</t>
  </si>
  <si>
    <t>Educating the Royal Navy : 18th and 19th Century Education for Officers</t>
  </si>
  <si>
    <t>Cass Series: Naval Policy and History</t>
  </si>
  <si>
    <t>Dickinson, Harry W.</t>
  </si>
  <si>
    <t>V511 -- .D53 2007eb</t>
  </si>
  <si>
    <t>Great Britain. -- Royal Navy -- Officers -- Training of -- History -- 18th century. ; Great Britain. -- Royal Navy -- Officers -- Training of -- History -- 19th century. ; Naval education -- Great Britain -- History -- 18th century. ; Naval education -- Great Britain -- History -- 19th century.</t>
  </si>
  <si>
    <t>https://ebookcentral.proquest.com/lib/yzu/detail.action?docID=332376</t>
  </si>
  <si>
    <t>Economics of Distance and Online Learning : Theory, Practice and Research</t>
  </si>
  <si>
    <t>Bramble, William J.;Panda, Santosh</t>
  </si>
  <si>
    <t>Distance education</t>
  </si>
  <si>
    <t>https://ebookcentral.proquest.com/lib/yzu/detail.action?docID=332388</t>
  </si>
  <si>
    <t>Philosophy of Language : A Contemporary Introduction</t>
  </si>
  <si>
    <t>Lycan, William G.;Lycan, William G.</t>
  </si>
  <si>
    <t>P106 -- .L886 2008eb</t>
  </si>
  <si>
    <t>Language and languages - Philosophy</t>
  </si>
  <si>
    <t>https://ebookcentral.proquest.com/lib/yzu/detail.action?docID=332391</t>
  </si>
  <si>
    <t>E-Learning and Social Networking Handbook : Resources for Higher Education</t>
  </si>
  <si>
    <t>Rennie, Frank;Mason, Robin</t>
  </si>
  <si>
    <t>LB1044.87 -- .M26 2008eb</t>
  </si>
  <si>
    <t>Internet in higher education</t>
  </si>
  <si>
    <t>https://ebookcentral.proquest.com/lib/yzu/detail.action?docID=332396</t>
  </si>
  <si>
    <t>Children, Structure and Agency : Realities Across the Developing World</t>
  </si>
  <si>
    <t>Routledge Studies in Development and Society Ser.</t>
  </si>
  <si>
    <t>Lieten, G. K.;Lieten, G. K.</t>
  </si>
  <si>
    <t>HV713 -- .L545 2008eb</t>
  </si>
  <si>
    <t>Children - Services for</t>
  </si>
  <si>
    <t>https://ebookcentral.proquest.com/lib/yzu/detail.action?docID=334814</t>
  </si>
  <si>
    <t>Hegemony : Studies in Consensus and Coercion</t>
  </si>
  <si>
    <t>Howson, Richard;Smith, Kylie</t>
  </si>
  <si>
    <t>JZ1312 -- .H44 2008eb</t>
  </si>
  <si>
    <t>Hegemony - Pacific Area</t>
  </si>
  <si>
    <t>https://ebookcentral.proquest.com/lib/yzu/detail.action?docID=334817</t>
  </si>
  <si>
    <t>Academic Writing and Publishing : A Practical Handbook</t>
  </si>
  <si>
    <t>Hartley, James</t>
  </si>
  <si>
    <t>PN146 -- .H373 2008eb</t>
  </si>
  <si>
    <t>Scholarly publishing</t>
  </si>
  <si>
    <t>https://ebookcentral.proquest.com/lib/yzu/detail.action?docID=336273</t>
  </si>
  <si>
    <t>Education in Popular Culture : Telling Tales on Teachers and Learners</t>
  </si>
  <si>
    <t>Fisher, Roy;Harris, Ann;Jarvis, Christine;Harris, Ann</t>
  </si>
  <si>
    <t>LC191 -- .F525 2008eb</t>
  </si>
  <si>
    <t>Education in mass media</t>
  </si>
  <si>
    <t>https://ebookcentral.proquest.com/lib/yzu/detail.action?docID=336285</t>
  </si>
  <si>
    <t>The Contemporary Anglophone Travel Novel : The Aesthetics of Self-Fashioning in the Era of Globalization</t>
  </si>
  <si>
    <t>Levin, Stephen M.</t>
  </si>
  <si>
    <t>PR888.T75 -- L48 2008eb</t>
  </si>
  <si>
    <t>Adventure and adventurers in literature</t>
  </si>
  <si>
    <t>https://ebookcentral.proquest.com/lib/yzu/detail.action?docID=339251</t>
  </si>
  <si>
    <t>Kant, Foucault, and Forms of Experience</t>
  </si>
  <si>
    <t>Djaballah, Marc</t>
  </si>
  <si>
    <t>B2798 -- .D55 2008eb</t>
  </si>
  <si>
    <t>Experience</t>
  </si>
  <si>
    <t>https://ebookcentral.proquest.com/lib/yzu/detail.action?docID=339253</t>
  </si>
  <si>
    <t>Theatre Studies : the Basics</t>
  </si>
  <si>
    <t>Leach, Robert</t>
  </si>
  <si>
    <t>PN1655.L35 2008</t>
  </si>
  <si>
    <t>Drama.</t>
  </si>
  <si>
    <t>https://ebookcentral.proquest.com/lib/yzu/detail.action?docID=342943</t>
  </si>
  <si>
    <t>Islam and Human Rights in Practice : Perspectives Across the Ummah</t>
  </si>
  <si>
    <t>Akbarzadeh, Shahram;MacQueen, Benjamin</t>
  </si>
  <si>
    <t>BP173.44 -- .I856 2008eb</t>
  </si>
  <si>
    <t>297.2/72</t>
  </si>
  <si>
    <t>Human rights - Religious aspects - Islam</t>
  </si>
  <si>
    <t>https://ebookcentral.proquest.com/lib/yzu/detail.action?docID=345082</t>
  </si>
  <si>
    <t>The Challenges to Library Learning : Solutions for Librarians</t>
  </si>
  <si>
    <t>Routledge Studies in Library and Information Science Ser.</t>
  </si>
  <si>
    <t>Massis, Bruce E.</t>
  </si>
  <si>
    <t>Z668.5 -- .C47 2008eb</t>
  </si>
  <si>
    <t>023/.8</t>
  </si>
  <si>
    <t>Library education (Continuing education)</t>
  </si>
  <si>
    <t>https://ebookcentral.proquest.com/lib/yzu/detail.action?docID=345086</t>
  </si>
  <si>
    <t>Children's Anxiety : A Contextual Approach</t>
  </si>
  <si>
    <t>Appleton, Peter</t>
  </si>
  <si>
    <t>RJ506.A58 -- C49 2008eb</t>
  </si>
  <si>
    <t>Anxiety in adolescence</t>
  </si>
  <si>
    <t>https://ebookcentral.proquest.com/lib/yzu/detail.action?docID=348441</t>
  </si>
  <si>
    <t>Education and the Family : Passing Success Across the Generations</t>
  </si>
  <si>
    <t>Foundations and Futures of Education Ser.</t>
  </si>
  <si>
    <t>Feinstein, Leon;Duckworth, Kathryn;Sabates, Ricardo</t>
  </si>
  <si>
    <t>LC225.33.G7 -- F45 2008eb</t>
  </si>
  <si>
    <t>Success - Great Britain</t>
  </si>
  <si>
    <t>https://ebookcentral.proquest.com/lib/yzu/detail.action?docID=348463</t>
  </si>
  <si>
    <t>Functional Anatomy for Sport and Exercise : Quick Reference</t>
  </si>
  <si>
    <t>Milner, Clare E.</t>
  </si>
  <si>
    <t>QM100 -- .M55 2008eb</t>
  </si>
  <si>
    <t>https://ebookcentral.proquest.com/lib/yzu/detail.action?docID=348488</t>
  </si>
  <si>
    <t>Editing for Today's Newsroom : A Guide for Success in a Changing Profession</t>
  </si>
  <si>
    <t>Stepp, Carl Sessions</t>
  </si>
  <si>
    <t>PN4778 -- .S73 2008eb</t>
  </si>
  <si>
    <t>070.4/1</t>
  </si>
  <si>
    <t>Journalism - Editing</t>
  </si>
  <si>
    <t>https://ebookcentral.proquest.com/lib/yzu/detail.action?docID=348493</t>
  </si>
  <si>
    <t>Handbook of College Reading and Study Strategy Research</t>
  </si>
  <si>
    <t>Flippo, Rona F.;Caverly, David C.</t>
  </si>
  <si>
    <t>LB2395.3 -- .H36 2008eb</t>
  </si>
  <si>
    <t>428.4/071/1</t>
  </si>
  <si>
    <t>Study skills - United States</t>
  </si>
  <si>
    <t>https://ebookcentral.proquest.com/lib/yzu/detail.action?docID=348494</t>
  </si>
  <si>
    <t>A Realist Theory of Science</t>
  </si>
  <si>
    <t>Classical Texts in Critical Realism (Routledge Critical Realism)</t>
  </si>
  <si>
    <t>Bhaskar, Roy</t>
  </si>
  <si>
    <t>Q175 -- .B53 2008eb</t>
  </si>
  <si>
    <t>Science - Philosophy</t>
  </si>
  <si>
    <t>https://ebookcentral.proquest.com/lib/yzu/detail.action?docID=348509</t>
  </si>
  <si>
    <t>ESL (ELL) Literacy Instruction : A Guidebook to Theory and Practice</t>
  </si>
  <si>
    <t>Gunderson, Lee</t>
  </si>
  <si>
    <t>PE1128.A2.G79 2009</t>
  </si>
  <si>
    <t>English language--Study and teaching--Foreign speakers.</t>
  </si>
  <si>
    <t>https://ebookcentral.proquest.com/lib/yzu/detail.action?docID=350225</t>
  </si>
  <si>
    <t>Childhood Re-Imagined : Images and Narratives of Development in Analytical Psychology</t>
  </si>
  <si>
    <t>Main, Shiho</t>
  </si>
  <si>
    <t>BF722 -- .M34 2008eb</t>
  </si>
  <si>
    <t>Jungian Theory</t>
  </si>
  <si>
    <t>https://ebookcentral.proquest.com/lib/yzu/detail.action?docID=350228</t>
  </si>
  <si>
    <t>Critical Perspectives on Harry Potter</t>
  </si>
  <si>
    <t>Heilman, Elizabeth E.</t>
  </si>
  <si>
    <t>Literature; Geography/Travel</t>
  </si>
  <si>
    <t>PR6068.O93 -- Z73 2009eb</t>
  </si>
  <si>
    <t>Rowling, J. K - Characters - Harry Potter</t>
  </si>
  <si>
    <t>https://ebookcentral.proquest.com/lib/yzu/detail.action?docID=355844</t>
  </si>
  <si>
    <t>Teaching ESL/EFL Listening and Speaking</t>
  </si>
  <si>
    <t>Newton, Jonathan M.;Nation, I. S. P.;Newton, Jonathan</t>
  </si>
  <si>
    <t>PE1128.A2 -- N344 2009eb</t>
  </si>
  <si>
    <t>English teachers - Training of</t>
  </si>
  <si>
    <t>https://ebookcentral.proquest.com/lib/yzu/detail.action?docID=355868</t>
  </si>
  <si>
    <t>Teaching ESL/EFL Reading and Writing</t>
  </si>
  <si>
    <t>Nation, I. S. P.</t>
  </si>
  <si>
    <t>PE1128.A2 -- N345 2009eb</t>
  </si>
  <si>
    <t>https://ebookcentral.proquest.com/lib/yzu/detail.action?docID=355869</t>
  </si>
  <si>
    <t>Theory of Mind : How Children Understand Others' Thoughts and Feelings</t>
  </si>
  <si>
    <t>International Texts in Developmental Psychology Ser.</t>
  </si>
  <si>
    <t>Doherty, Martin</t>
  </si>
  <si>
    <t>BF723.P48 -- D64 2009eb</t>
  </si>
  <si>
    <t>Philosophy of mind in children</t>
  </si>
  <si>
    <t>https://ebookcentral.proquest.com/lib/yzu/detail.action?docID=355885</t>
  </si>
  <si>
    <t>The Culture of Confession from Augustine to Foucault : A Genealogy of the 'Confessing Animal'</t>
  </si>
  <si>
    <t>Taylor, Chloë</t>
  </si>
  <si>
    <t>BV845 -- .T39 2009eb</t>
  </si>
  <si>
    <t>128/.4</t>
  </si>
  <si>
    <t>Confession</t>
  </si>
  <si>
    <t>https://ebookcentral.proquest.com/lib/yzu/detail.action?docID=355892</t>
  </si>
  <si>
    <t>Marketing the Sports Organisation : Building Networks and Relationships</t>
  </si>
  <si>
    <t>Ferrand, Alain;McCarthy, Scott</t>
  </si>
  <si>
    <t>Sport &amp;amp; Recreation; Business/Management; Economics</t>
  </si>
  <si>
    <t>GV716 -- .F473 2009eb</t>
  </si>
  <si>
    <t>338.4/379606</t>
  </si>
  <si>
    <t>Sports - Societies, etc - Marketing</t>
  </si>
  <si>
    <t>https://ebookcentral.proquest.com/lib/yzu/detail.action?docID=355896</t>
  </si>
  <si>
    <t>Playing with Videogames</t>
  </si>
  <si>
    <t>Newman, James</t>
  </si>
  <si>
    <t>GV1469.3 -- .N47 2008eb</t>
  </si>
  <si>
    <t>Video games - Social aspects</t>
  </si>
  <si>
    <t>https://ebookcentral.proquest.com/lib/yzu/detail.action?docID=355932</t>
  </si>
  <si>
    <t>Advances in Mobile Mapping Technology : ISPRS Series, volume 4</t>
  </si>
  <si>
    <t>Tao, C. Vincent;Li, Jonathan;Li, Jonathan</t>
  </si>
  <si>
    <t>Geography/Travel; Science; Science: Astronomy</t>
  </si>
  <si>
    <t>GA139.A38 2007</t>
  </si>
  <si>
    <t>Digital mapping</t>
  </si>
  <si>
    <t>https://ebookcentral.proquest.com/lib/yzu/detail.action?docID=355948</t>
  </si>
  <si>
    <t>Arabic: an Essential Grammar : An Essential Grammar</t>
  </si>
  <si>
    <t>Abu-Chacra, Faruk;Abu-Chacra, Faruk</t>
  </si>
  <si>
    <t>PJ6307 -- .A384 2007eb</t>
  </si>
  <si>
    <t>Arabic language -- Textbooks for foreign speakers -- English.;Semitic languages.</t>
  </si>
  <si>
    <t>https://ebookcentral.proquest.com/lib/yzu/detail.action?docID=355957</t>
  </si>
  <si>
    <t>Buddhism, Power and Political Order</t>
  </si>
  <si>
    <t>Harris, Ian</t>
  </si>
  <si>
    <t>BQ7190 -- .B83 2007eb</t>
  </si>
  <si>
    <t>Buddhism and state - Southeast Asia</t>
  </si>
  <si>
    <t>https://ebookcentral.proquest.com/lib/yzu/detail.action?docID=355973</t>
  </si>
  <si>
    <t>Ethnicity and Urban Life in China : A Comparative Study of Hui Muslims and Han Chinese</t>
  </si>
  <si>
    <t>Zang, Xiaowei</t>
  </si>
  <si>
    <t>DS797.28.L369 -- Z36 2007eb</t>
  </si>
  <si>
    <t>Muslims -- China -- Lanzhou Shi -- Social conditions -- 21st century. ; Lanzhou Shi (China) -- Ethnic relations -- History -- 21st century.</t>
  </si>
  <si>
    <t>https://ebookcentral.proquest.com/lib/yzu/detail.action?docID=356032</t>
  </si>
  <si>
    <t>Voice in Qualitative Inquiry : Challenging Conventional, Interpretive, and Critical Conceptions in Qualitative Research</t>
  </si>
  <si>
    <t>Jackson, Alecia Y.;Mazzei, Lisa A.</t>
  </si>
  <si>
    <t>H62 -- .V624 2009eb</t>
  </si>
  <si>
    <t>Voice (Philosophy)</t>
  </si>
  <si>
    <t>https://ebookcentral.proquest.com/lib/yzu/detail.action?docID=356335</t>
  </si>
  <si>
    <t>Communication As Culture, Revised Edition : Essays on Media and Society</t>
  </si>
  <si>
    <t>Carey, James W.;Adam, G. Stuart</t>
  </si>
  <si>
    <t>P94.6 -- .C372 2009eb</t>
  </si>
  <si>
    <t>Communication - Technological innovations</t>
  </si>
  <si>
    <t>https://ebookcentral.proquest.com/lib/yzu/detail.action?docID=356343</t>
  </si>
  <si>
    <t>Truth, Lies and Trust on the Internet</t>
  </si>
  <si>
    <t>Whitty, Monica T.;Joinson, Adam</t>
  </si>
  <si>
    <t>HM1017 -- .W45 2009eb</t>
  </si>
  <si>
    <t>Internet users -- Psychology. ; Internet -- Psychological aspects. ; Internet -- Social aspects. ; Cyberspace -- Psychological aspects. ; Social psychology.</t>
  </si>
  <si>
    <t>https://ebookcentral.proquest.com/lib/yzu/detail.action?docID=356351</t>
  </si>
  <si>
    <t>The Development of Memory in Infancy and Childhood</t>
  </si>
  <si>
    <t>Courage, Mary L.;Cowan, Nelson</t>
  </si>
  <si>
    <t>BF723.M4 -- D485 2009eb</t>
  </si>
  <si>
    <t>155.4/1312</t>
  </si>
  <si>
    <t>Memory in children</t>
  </si>
  <si>
    <t>https://ebookcentral.proquest.com/lib/yzu/detail.action?docID=356356</t>
  </si>
  <si>
    <t>The Art Business</t>
  </si>
  <si>
    <t>Robertson, Iain;Robertson, Iain</t>
  </si>
  <si>
    <t>N8600 -- .A733 2008eb</t>
  </si>
  <si>
    <t>Art -- Economic aspects. ; Art -- Marketing.</t>
  </si>
  <si>
    <t>https://ebookcentral.proquest.com/lib/yzu/detail.action?docID=356362</t>
  </si>
  <si>
    <t>Conflict Management, Security and Intervention in East Asia : Third-Party Mediation in Regional Conflict</t>
  </si>
  <si>
    <t>Bercovitch, Jacob;Huang, Kwei-Bo;Teng, Chung-Chian</t>
  </si>
  <si>
    <t>JZ6045 -- .C648 2008eb</t>
  </si>
  <si>
    <t>Mediation, International. ; Conflict management -- China. ; China -- Foreign relations -- Taiwan. ; Taiwan -- Foreign relations -- China. ; United States -- Foreign relations -- China. ; China -- Foreign relations -- United States. ; United States -- Foreign relations -- Taiwan.</t>
  </si>
  <si>
    <t>https://ebookcentral.proquest.com/lib/yzu/detail.action?docID=356383</t>
  </si>
  <si>
    <t>Taiwan's Relations with Mainland China : A Tail Wagging Two Dogs</t>
  </si>
  <si>
    <t>Su, Chi</t>
  </si>
  <si>
    <t>DS799.63.C6 -- S8 2009eb</t>
  </si>
  <si>
    <t>https://ebookcentral.proquest.com/lib/yzu/detail.action?docID=356402</t>
  </si>
  <si>
    <t>Statistical Modelling for Social Researchers : Principles and Practice</t>
  </si>
  <si>
    <t>Social Research Today Ser.</t>
  </si>
  <si>
    <t>Tarling, Roger</t>
  </si>
  <si>
    <t>HA29 -- .T28 2009eb</t>
  </si>
  <si>
    <t>https://ebookcentral.proquest.com/lib/yzu/detail.action?docID=356411</t>
  </si>
  <si>
    <t>Asia on Tour : Exploring the Rise of Asian Tourism</t>
  </si>
  <si>
    <t>Winter, Tim;Teo, Peggy;Chang, T. C.</t>
  </si>
  <si>
    <t>G155.A74 -- A828 2009eb</t>
  </si>
  <si>
    <t>338.4/7915</t>
  </si>
  <si>
    <t>Tourism -- Asia. ; Travel.</t>
  </si>
  <si>
    <t>https://ebookcentral.proquest.com/lib/yzu/detail.action?docID=357837</t>
  </si>
  <si>
    <t>Labour Migration and Social Development in Contemporary China</t>
  </si>
  <si>
    <t>Comparative Development and Policy in Asia Ser.</t>
  </si>
  <si>
    <t>Murphy, Rachel</t>
  </si>
  <si>
    <t>HD5856.C5 -- L33 2009eb</t>
  </si>
  <si>
    <t>331.5/440951</t>
  </si>
  <si>
    <t>Migration, Internal - Economic aspects - China</t>
  </si>
  <si>
    <t>https://ebookcentral.proquest.com/lib/yzu/detail.action?docID=359045</t>
  </si>
  <si>
    <t>Media Today : An Introduction to Mass Communication</t>
  </si>
  <si>
    <t>Turow, Joseph</t>
  </si>
  <si>
    <t>P90 -- .T874 2009eb</t>
  </si>
  <si>
    <t>Mass media.;Communication.</t>
  </si>
  <si>
    <t>https://ebookcentral.proquest.com/lib/yzu/detail.action?docID=359053</t>
  </si>
  <si>
    <t>On the Art of the Theatre</t>
  </si>
  <si>
    <t>Craig, Edward Gordon;Chamberlain, Franc</t>
  </si>
  <si>
    <t>PN2037 -- .C6 2008eb</t>
  </si>
  <si>
    <t>Theater</t>
  </si>
  <si>
    <t>https://ebookcentral.proquest.com/lib/yzu/detail.action?docID=360135</t>
  </si>
  <si>
    <t>Ethical Dilemmas in Management</t>
  </si>
  <si>
    <t>Garsten, Christina;Hernes, Tor</t>
  </si>
  <si>
    <t>HF5387 -- .E776 2009eb</t>
  </si>
  <si>
    <t>https://ebookcentral.proquest.com/lib/yzu/detail.action?docID=360139</t>
  </si>
  <si>
    <t>Explorations in Communication and History</t>
  </si>
  <si>
    <t>Shaping Inquiry in Culture, Communication and Media Studies</t>
  </si>
  <si>
    <t>Zelizer, Barbie</t>
  </si>
  <si>
    <t>P90 -- .E89 2008eb</t>
  </si>
  <si>
    <t>Mass media - History</t>
  </si>
  <si>
    <t>https://ebookcentral.proquest.com/lib/yzu/detail.action?docID=362259</t>
  </si>
  <si>
    <t>Pharmacology, Doping and Sports : A Scientific Guide for Athletes, Coaches, Physicians, Scientists and Administrators</t>
  </si>
  <si>
    <t>Fourcroy, Jean L.</t>
  </si>
  <si>
    <t>RC1230 -- .P53 2009eb</t>
  </si>
  <si>
    <t>Steroids - adverse effects</t>
  </si>
  <si>
    <t>https://ebookcentral.proquest.com/lib/yzu/detail.action?docID=362304</t>
  </si>
  <si>
    <t>The Video Game Theory Reader 2</t>
  </si>
  <si>
    <t>Perron, Bernard;Wolf, Mark J. P.</t>
  </si>
  <si>
    <t>GV1469.3 -- .V574 2009eb</t>
  </si>
  <si>
    <t>Video games</t>
  </si>
  <si>
    <t>https://ebookcentral.proquest.com/lib/yzu/detail.action?docID=366330</t>
  </si>
  <si>
    <t>Re-Writing Culture in Taiwan</t>
  </si>
  <si>
    <t>Shih, Fang-Long;Thompson, Stuart;Tremlett, Paul</t>
  </si>
  <si>
    <t>DS799.4 -- .R4 2008eb</t>
  </si>
  <si>
    <t>951.24/90072</t>
  </si>
  <si>
    <t>Taiwan - Civilization - Study and teaching</t>
  </si>
  <si>
    <t>https://ebookcentral.proquest.com/lib/yzu/detail.action?docID=366354</t>
  </si>
  <si>
    <t>Visible Learning : A Synthesis of over 800 Meta-Analyses Relating to Achievement</t>
  </si>
  <si>
    <t>Hattie, John</t>
  </si>
  <si>
    <t>LB1060 -- .H388 2009eb</t>
  </si>
  <si>
    <t>https://ebookcentral.proquest.com/lib/yzu/detail.action?docID=367685</t>
  </si>
  <si>
    <t>Educating Learning Technology Designers : Guiding and Inspiring Creators of Innovative Educational Tools</t>
  </si>
  <si>
    <t>DiGiano, Chris;Goldman, Shelley;Chorost, Michael</t>
  </si>
  <si>
    <t>LB1028.3 -- .E319 2008eb</t>
  </si>
  <si>
    <t>Computer-assisted instruction</t>
  </si>
  <si>
    <t>https://ebookcentral.proquest.com/lib/yzu/detail.action?docID=367698</t>
  </si>
  <si>
    <t>Heritage and Identity : Engagement and Demission in the Contemporary World</t>
  </si>
  <si>
    <t>Anico, Marta;Peralta, Elsa</t>
  </si>
  <si>
    <t>Environmental Studies; History</t>
  </si>
  <si>
    <t>CC135 -- .H45 2009eb</t>
  </si>
  <si>
    <t>363.6/9</t>
  </si>
  <si>
    <t>Cultural property - Protection - Political aspects</t>
  </si>
  <si>
    <t>https://ebookcentral.proquest.com/lib/yzu/detail.action?docID=369078</t>
  </si>
  <si>
    <t>China in the Wake of Asia's Financial Crisis</t>
  </si>
  <si>
    <t>Mengkui, Wang</t>
  </si>
  <si>
    <t>HG187.C6 -- C4336 2008eb</t>
  </si>
  <si>
    <t>Finance -- China. ; Financial crises -- Asia. ; China -- Economic policy.</t>
  </si>
  <si>
    <t>https://ebookcentral.proquest.com/lib/yzu/detail.action?docID=369101</t>
  </si>
  <si>
    <t>Advances in Applied Sport Psychology : A Review</t>
  </si>
  <si>
    <t>Mellalieu, Stephen;Hanton, Sheldon</t>
  </si>
  <si>
    <t>GV706.4 -- .A355 2009eb</t>
  </si>
  <si>
    <t>Sports literature</t>
  </si>
  <si>
    <t>https://ebookcentral.proquest.com/lib/yzu/detail.action?docID=369112</t>
  </si>
  <si>
    <t>New Media : A Critical Introduction</t>
  </si>
  <si>
    <t>Lister, Martin;Dovey, Jon;Giddings, Seth;Grant, Iain;Kelly, Kieran</t>
  </si>
  <si>
    <t>P96.T42 -- N478 2009eb</t>
  </si>
  <si>
    <t>Mass media - Technological innovations</t>
  </si>
  <si>
    <t>https://ebookcentral.proquest.com/lib/yzu/detail.action?docID=370928</t>
  </si>
  <si>
    <t>Marxism, Cultural Studies and Sport</t>
  </si>
  <si>
    <t>Routledge Critical Studies in Sport Ser.</t>
  </si>
  <si>
    <t>Carrington, Ben;McDonald, Ian;McDonald, Ian;Hargreaves, Jennifer</t>
  </si>
  <si>
    <t>GV706.5 -- .M364 2009eb</t>
  </si>
  <si>
    <t>Sports and state</t>
  </si>
  <si>
    <t>https://ebookcentral.proquest.com/lib/yzu/detail.action?docID=370929</t>
  </si>
  <si>
    <t>Rethinking Chinese Popular Culture : Cannibalizations of the Canon</t>
  </si>
  <si>
    <t>Rojas, Carlos;Chow, Eileen</t>
  </si>
  <si>
    <t>PL2303 -- .R45 2009eb</t>
  </si>
  <si>
    <t>Popular culture - China</t>
  </si>
  <si>
    <t>https://ebookcentral.proquest.com/lib/yzu/detail.action?docID=370945</t>
  </si>
  <si>
    <t>Places of Pain and Shame : Dealing with 'Difficult Heritage'</t>
  </si>
  <si>
    <t>Key Issues in Cultural Heritage Ser.</t>
  </si>
  <si>
    <t>Logan, William;Reeves, Keir</t>
  </si>
  <si>
    <t>CC135 -- .P59 2009eb</t>
  </si>
  <si>
    <t>Shame</t>
  </si>
  <si>
    <t>https://ebookcentral.proquest.com/lib/yzu/detail.action?docID=370967</t>
  </si>
  <si>
    <t>Disability, Sport and Society : An Introduction</t>
  </si>
  <si>
    <t>Thomas, Nigel;Smith, Andy</t>
  </si>
  <si>
    <t>GV709.3 -- .T46 2008eb</t>
  </si>
  <si>
    <t>Athletes with disabilities</t>
  </si>
  <si>
    <t>https://ebookcentral.proquest.com/lib/yzu/detail.action?docID=370969</t>
  </si>
  <si>
    <t>Divine Justice : Religion and the Development of Chinese Legal Culture</t>
  </si>
  <si>
    <t>Academia Sinica on East Asia Ser.</t>
  </si>
  <si>
    <t>Katz, Paul R.</t>
  </si>
  <si>
    <t>KNN469 -- .K38 2009eb</t>
  </si>
  <si>
    <t>340.5/251</t>
  </si>
  <si>
    <t>China - Religious life and customs - History</t>
  </si>
  <si>
    <t>https://ebookcentral.proquest.com/lib/yzu/detail.action?docID=370981</t>
  </si>
  <si>
    <t>Interlanguage Variation in Theoretical and Pedagogical Perspective</t>
  </si>
  <si>
    <t>Adamson, H. D.</t>
  </si>
  <si>
    <t>Science: General; Language/Linguistics</t>
  </si>
  <si>
    <t>P120.V37 -- A32 2009eb</t>
  </si>
  <si>
    <t>https://ebookcentral.proquest.com/lib/yzu/detail.action?docID=371026</t>
  </si>
  <si>
    <t>Discipline in the Global Economy? : International Finance and the End of Liberalism</t>
  </si>
  <si>
    <t>New Political Economy Ser.</t>
  </si>
  <si>
    <t>Vestergaard, Jakob</t>
  </si>
  <si>
    <t>HB3808 -- .V47 2009eb</t>
  </si>
  <si>
    <t>332/.042095</t>
  </si>
  <si>
    <t>International Monetary Fund. ; Financial crises -- Asia. ; Monetary policy -- Asia. ; International finance.</t>
  </si>
  <si>
    <t>https://ebookcentral.proquest.com/lib/yzu/detail.action?docID=380827</t>
  </si>
  <si>
    <t>E-Governance : Managing or Governing?</t>
  </si>
  <si>
    <t>Routledge EBusiness Ser.</t>
  </si>
  <si>
    <t>Budd, Leslie;Harris, Lisa</t>
  </si>
  <si>
    <t>JF1525.A8 -- E195 2009eb</t>
  </si>
  <si>
    <t>Internet in public administration</t>
  </si>
  <si>
    <t>https://ebookcentral.proquest.com/lib/yzu/detail.action?docID=380830</t>
  </si>
  <si>
    <t>Workers' Democracy in China's Transition from State Socialism</t>
  </si>
  <si>
    <t>Philion, Stephen E.</t>
  </si>
  <si>
    <t>HD8736.5 -- .P55 2009eb</t>
  </si>
  <si>
    <t>Management - Employee participation - China</t>
  </si>
  <si>
    <t>https://ebookcentral.proquest.com/lib/yzu/detail.action?docID=380873</t>
  </si>
  <si>
    <t>An Introduction to Drugs in Sport : Addicted to Winning?</t>
  </si>
  <si>
    <t>Waddington, Ivan;Smith, Andy</t>
  </si>
  <si>
    <t>Social Science; Health; Medicine</t>
  </si>
  <si>
    <t>RC1230 -- .W294 2009eb</t>
  </si>
  <si>
    <t>Doping in sports</t>
  </si>
  <si>
    <t>https://ebookcentral.proquest.com/lib/yzu/detail.action?docID=401821</t>
  </si>
  <si>
    <t>Sport, Technology and the Body : The Nature of Performance</t>
  </si>
  <si>
    <t>Magdalinski, Tara</t>
  </si>
  <si>
    <t>GV706.5 -- .M33 2009eb</t>
  </si>
  <si>
    <t>https://ebookcentral.proquest.com/lib/yzu/detail.action?docID=401859</t>
  </si>
  <si>
    <t>Architecture and Narrative : The Formation of Space and Cultural Meaning</t>
  </si>
  <si>
    <t>Psarra, Sophia</t>
  </si>
  <si>
    <t>NA2760 -- .P78 2009eb</t>
  </si>
  <si>
    <t>Architecture - Composition, proportion, etc</t>
  </si>
  <si>
    <t>https://ebookcentral.proquest.com/lib/yzu/detail.action?docID=408917</t>
  </si>
  <si>
    <t>Business Organisation for Construction</t>
  </si>
  <si>
    <t>March, Chris</t>
  </si>
  <si>
    <t>TH438 -- .M3067 2009eb</t>
  </si>
  <si>
    <t>690.068/1</t>
  </si>
  <si>
    <t>Construction industry - Management</t>
  </si>
  <si>
    <t>https://ebookcentral.proquest.com/lib/yzu/detail.action?docID=411014</t>
  </si>
  <si>
    <t>Essential Acting : A Practical Handbook for Actors, Teachers and Directors</t>
  </si>
  <si>
    <t>Panet, Brigid</t>
  </si>
  <si>
    <t>PN2061 -- .P27 2009eb</t>
  </si>
  <si>
    <t>Acting -- Handbooks, manuals, etc.;Drama -- Handbooks, manuals, etc.</t>
  </si>
  <si>
    <t>https://ebookcentral.proquest.com/lib/yzu/detail.action?docID=412927</t>
  </si>
  <si>
    <t>Becoming a Writing Researcher</t>
  </si>
  <si>
    <t>Blakeslee, Ann M.;Fleischer, Cathy;Fleischer, Cathy</t>
  </si>
  <si>
    <t>Technical writing</t>
  </si>
  <si>
    <t>https://ebookcentral.proquest.com/lib/yzu/detail.action?docID=425318</t>
  </si>
  <si>
    <t>Communication and Social Cognition : Theories and Methods</t>
  </si>
  <si>
    <t>Roskos-Ewoldsen, David R.;Monahan, Jennifer L.;Monahan, Jennifer L.</t>
  </si>
  <si>
    <t>Social perception</t>
  </si>
  <si>
    <t>https://ebookcentral.proquest.com/lib/yzu/detail.action?docID=425356</t>
  </si>
  <si>
    <t>Routledge Encyclopedia of Translation Studies</t>
  </si>
  <si>
    <t>Baker, Mona;Saldanha, Gabriela</t>
  </si>
  <si>
    <t>P306 -- .E57 2009eb</t>
  </si>
  <si>
    <t>418/.0203</t>
  </si>
  <si>
    <t>Translating and interpreting - Encyclopedias</t>
  </si>
  <si>
    <t>https://ebookcentral.proquest.com/lib/yzu/detail.action?docID=425373</t>
  </si>
  <si>
    <t>Writing Across Distances and Disciplines : Research and Pedagogy in Distributed Learning</t>
  </si>
  <si>
    <t>Neff, Joyce Magnotto;Whithaus, Carl</t>
  </si>
  <si>
    <t>PE1404 -- .N434 2008eb</t>
  </si>
  <si>
    <t>Distance education - Computer-</t>
  </si>
  <si>
    <t>https://ebookcentral.proquest.com/lib/yzu/detail.action?docID=425404</t>
  </si>
  <si>
    <t>Marketing in Developing Countries : Nigerian Advertising in a Global and Technological Economy</t>
  </si>
  <si>
    <t>Alozie, Emmanuel C.</t>
  </si>
  <si>
    <t>HF5813.N55 -- A464 2009eb</t>
  </si>
  <si>
    <t>Marketing - Africa, Sub-Saharan</t>
  </si>
  <si>
    <t>https://ebookcentral.proquest.com/lib/yzu/detail.action?docID=425463</t>
  </si>
  <si>
    <t>Affirming Students' Right to Their Own Language : Bridging Language Policies and Pedagogical Practices</t>
  </si>
  <si>
    <t>Scott, Jerrie Cobb;Straker, Dolores Y.;Katz, Laurie</t>
  </si>
  <si>
    <t>LC201.5 -- .A44 2008eb</t>
  </si>
  <si>
    <t>Native language and education</t>
  </si>
  <si>
    <t>https://ebookcentral.proquest.com/lib/yzu/detail.action?docID=432742</t>
  </si>
  <si>
    <t>Disability and Youth Sport</t>
  </si>
  <si>
    <t>Fitzgerald, Hayley;Bailey, Richard</t>
  </si>
  <si>
    <t>GV709.3 -- .D57 2009eb</t>
  </si>
  <si>
    <t>Youth with disabilities - Recreation</t>
  </si>
  <si>
    <t>https://ebookcentral.proquest.com/lib/yzu/detail.action?docID=432747</t>
  </si>
  <si>
    <t>A Philosophical Enquiry into the Sublime and Beautiful</t>
  </si>
  <si>
    <t>Burke, Edmund</t>
  </si>
  <si>
    <t>BH181 -- .B87 2008eb</t>
  </si>
  <si>
    <t>Sublime, The</t>
  </si>
  <si>
    <t>https://ebookcentral.proquest.com/lib/yzu/detail.action?docID=432784</t>
  </si>
  <si>
    <t>Visual Literacy</t>
  </si>
  <si>
    <t>LB1068.V578 2009</t>
  </si>
  <si>
    <t>370.15/5</t>
  </si>
  <si>
    <t>Visual literacy.</t>
  </si>
  <si>
    <t>https://ebookcentral.proquest.com/lib/yzu/detail.action?docID=446781</t>
  </si>
  <si>
    <t>Introduction to Estimating Economic Models</t>
  </si>
  <si>
    <t>Maki, Atsushi</t>
  </si>
  <si>
    <t>HB131 -- .M335 2011eb</t>
  </si>
  <si>
    <t>Economics - Econometric models</t>
  </si>
  <si>
    <t>https://ebookcentral.proquest.com/lib/yzu/detail.action?docID=668264</t>
  </si>
  <si>
    <t>Basic Concepts of Environmental Chemistry</t>
  </si>
  <si>
    <t>Connell, Des W.</t>
  </si>
  <si>
    <t>TD193.B37 2005</t>
  </si>
  <si>
    <t>Environmental chemistry.</t>
  </si>
  <si>
    <t>https://ebookcentral.proquest.com/lib/yzu/detail.action?docID=1447131</t>
  </si>
  <si>
    <t>Environmental Engineer's Mathematics Handbook</t>
  </si>
  <si>
    <t>Spellman, Frank R.;Whiting, Nancy E.</t>
  </si>
  <si>
    <t>TD145.S676 2005</t>
  </si>
  <si>
    <t>Environmental engineering -- Mathematics -- Handbooks, manuals, etc.</t>
  </si>
  <si>
    <t>https://ebookcentral.proquest.com/lib/yzu/detail.action?docID=2010224</t>
  </si>
  <si>
    <t>Chaos Applications in Telecommunications</t>
  </si>
  <si>
    <t>Stavroulakis, Peter</t>
  </si>
  <si>
    <t>TK5101.C438 2006</t>
  </si>
  <si>
    <t>Chaotic behavior in systems - Mathematical models</t>
  </si>
  <si>
    <t>https://ebookcentral.proquest.com/lib/yzu/detail.action?docID=2010277</t>
  </si>
  <si>
    <t>Wireless Sensor Networks : Architectures and Protocols</t>
  </si>
  <si>
    <t>Callaway, Edgar H., Jr.</t>
  </si>
  <si>
    <t>TK7872.D48C35 2004</t>
  </si>
  <si>
    <t>Sensor networks.;Wireless LANs.</t>
  </si>
  <si>
    <t>https://ebookcentral.proquest.com/lib/yzu/detail.action?docID=2010283</t>
  </si>
  <si>
    <t>Fundamentals of Information Theory and Coding Design</t>
  </si>
  <si>
    <t>Discrete Mathematics and Its Applications</t>
  </si>
  <si>
    <t>Togneri, Roberto;deSilva, Christopher J.S</t>
  </si>
  <si>
    <t>Q360.T62 2002</t>
  </si>
  <si>
    <t>003/.54</t>
  </si>
  <si>
    <t>Information theory.</t>
  </si>
  <si>
    <t>https://ebookcentral.proquest.com/lib/yzu/detail.action?docID=2010350</t>
  </si>
  <si>
    <t>Higher-Order Finite Element Methods</t>
  </si>
  <si>
    <t>Studies in Advanced Mathematics Ser.</t>
  </si>
  <si>
    <t>Solin, Pavel;Segeth, Karel;Dolezel, Ivo;Dolezel, Ivo</t>
  </si>
  <si>
    <t>TA347.F5.S68 2004</t>
  </si>
  <si>
    <t>Finite element method.</t>
  </si>
  <si>
    <t>https://ebookcentral.proquest.com/lib/yzu/detail.action?docID=2010393</t>
  </si>
  <si>
    <t>Handbook of Sensor Networks : Compact Wireless and Wired Sensing Systems</t>
  </si>
  <si>
    <t>TK7872.D48H36 2005</t>
  </si>
  <si>
    <t>https://ebookcentral.proquest.com/lib/yzu/detail.action?docID=2010473</t>
  </si>
  <si>
    <t>Microwave and RF Product Applications</t>
  </si>
  <si>
    <t>Golio, Mike</t>
  </si>
  <si>
    <t>TK5103.2.M54 2003</t>
  </si>
  <si>
    <t>Radio frequency</t>
  </si>
  <si>
    <t>https://ebookcentral.proquest.com/lib/yzu/detail.action?docID=3059342</t>
  </si>
  <si>
    <t>Stewards of the Nation's Art : Contested Cultural Authority 1890-1939</t>
  </si>
  <si>
    <t>Geddes Poole, Andrea</t>
  </si>
  <si>
    <t>https://ebookcentral.proquest.com/lib/yzu/detail.action?docID=4672997</t>
  </si>
  <si>
    <t>Digital Design and Computer Organization</t>
  </si>
  <si>
    <t>Farhat, Hassan A.</t>
  </si>
  <si>
    <t>TK7885</t>
  </si>
  <si>
    <t>Computer engineering</t>
  </si>
  <si>
    <t>https://ebookcentral.proquest.com/lib/yzu/detail.action?docID=4977160</t>
  </si>
  <si>
    <t>Analyzing Media Messages: Using Quantitative Content Analysis in Research, Second Edition</t>
  </si>
  <si>
    <t>Daniel Riffe;Lacy, Stephen;Fico, Frederick</t>
  </si>
  <si>
    <t>P93.R54 2005</t>
  </si>
  <si>
    <t>https://ebookcentral.proquest.com/lib/yzu/detail.action?docID=5121762</t>
  </si>
  <si>
    <t>Nanotechnology and the Environment</t>
  </si>
  <si>
    <t>Kathleen Sellers;Mackay, Christopher;Bergeson, Lynn L.;Clough, Stephen R.;Hoyt, Marilyn</t>
  </si>
  <si>
    <t>https://ebookcentral.proquest.com/lib/yzu/detail.action?docID=5121812</t>
  </si>
  <si>
    <t>English Studies Book, The: An Introduction to Language, Literature and Culture</t>
  </si>
  <si>
    <t>Pope, Robert</t>
  </si>
  <si>
    <t>PE31</t>
  </si>
  <si>
    <t>https://ebookcentral.proquest.com/lib/yzu/detail.action?docID=5121839</t>
  </si>
  <si>
    <t>Probability and Statistics for Engineers and Scientists, Global Edition</t>
  </si>
  <si>
    <t>Pearson Education, Limited</t>
  </si>
  <si>
    <t>Walpole, Ronald;Myers, Raymond;Myers, Sharon;Ye, Keying;Myers, Sharon;Ye, Keying;Walpole, Ronald;Meyers, Raymond;Myers, Raymond;Meyers, Sharon</t>
  </si>
  <si>
    <t>QA273.2 .P763 2016</t>
  </si>
  <si>
    <t>Engineering-Statistical methods-Textbooks. ; Probabilities-Textbooks. ; Engineering-Statistical methods.</t>
  </si>
  <si>
    <t>https://ebookcentral.proquest.com/lib/yzu/detail.action?docID=5186338</t>
  </si>
  <si>
    <t>A Young Mind in a Growing Brain</t>
  </si>
  <si>
    <t>Jerome Kagan;Elinore Herschkowitz</t>
  </si>
  <si>
    <t>https://ebookcentral.proquest.com/lib/yzu/detail.action?docID=5292889</t>
  </si>
  <si>
    <t>Second Language Writers’ Text: Linguistic and Rhetorical Features</t>
  </si>
  <si>
    <t>Eli Hinkel</t>
  </si>
  <si>
    <t>https://ebookcentral.proquest.com/lib/yzu/detail.action?docID=5300826</t>
  </si>
  <si>
    <t>Media Organizations and Convergence: Case Studies of Media Convergence Pioneers</t>
  </si>
  <si>
    <t>Gracie Lawson-Borders, PhD</t>
  </si>
  <si>
    <t>https://ebookcentral.proquest.com/lib/yzu/detail.action?docID=5300884</t>
  </si>
  <si>
    <t>Practicing Art and Anthropology : A Transdisciplinary Journey</t>
  </si>
  <si>
    <t>Laine, Anna</t>
  </si>
  <si>
    <t>N72.A56 .L358 2018</t>
  </si>
  <si>
    <t>Art and anthropology. ; Interdisciplinary research. ; Kolam (House marks)</t>
  </si>
  <si>
    <t>https://ebookcentral.proquest.com/lib/yzu/detail.action?docID=5389335</t>
  </si>
  <si>
    <t>FMCW Radar Design</t>
  </si>
  <si>
    <t>Jankiraman, M.</t>
  </si>
  <si>
    <t>TK6575 .J365 2018</t>
  </si>
  <si>
    <t>Radar.</t>
  </si>
  <si>
    <t>https://ebookcentral.proquest.com/lib/yzu/detail.action?docID=5528463</t>
  </si>
  <si>
    <t>The Routledge Companion to Criticality in Art, Architecture, and Design</t>
  </si>
  <si>
    <t>Brisbin, Chris;Thiessen, Myra</t>
  </si>
  <si>
    <t>N7475 .R688 2019</t>
  </si>
  <si>
    <t>Art criticism-Methodology. ; Interdisciplinary approach to knowledge.</t>
  </si>
  <si>
    <t>https://ebookcentral.proquest.com/lib/yzu/detail.action?docID=5580333</t>
  </si>
  <si>
    <t>Design, History and Time : New Temporalities in a Digital Age</t>
  </si>
  <si>
    <t>Hendon, Zoë;Massey, Anne</t>
  </si>
  <si>
    <t>NK1390 .D475 2019</t>
  </si>
  <si>
    <t>Design-History-20th century.</t>
  </si>
  <si>
    <t>https://ebookcentral.proquest.com/lib/yzu/detail.action?docID=5616251</t>
  </si>
  <si>
    <t>Pictorial Embroidery in England : A Critical History of Needlepainting and Berlin Work</t>
  </si>
  <si>
    <t>Desnoyers, Rosika</t>
  </si>
  <si>
    <t>TT778.C3 .D476 2019</t>
  </si>
  <si>
    <t>Canvas embroidery-Great Britain-History.</t>
  </si>
  <si>
    <t>https://ebookcentral.proquest.com/lib/yzu/detail.action?docID=5633128</t>
  </si>
  <si>
    <t>Innovation for the Fatigued : How to Build a Culture of Deep Creativity</t>
  </si>
  <si>
    <t>Rehn, Alf</t>
  </si>
  <si>
    <t>https://ebookcentral.proquest.com/lib/yzu/detail.action?docID=5718928</t>
  </si>
  <si>
    <t>Introduction to Radar Using Python and MATLAB</t>
  </si>
  <si>
    <t>Harrison, Lee Andrew (Andy)</t>
  </si>
  <si>
    <t>TK6575 .H37 2020</t>
  </si>
  <si>
    <t>MATLAB. ; Radar. ; Python (Computer program language)</t>
  </si>
  <si>
    <t>https://ebookcentral.proquest.com/lib/yzu/detail.action?docID=5988158</t>
  </si>
  <si>
    <t>28th Concrete Days</t>
  </si>
  <si>
    <t>Trans Tech Publications, Limited</t>
  </si>
  <si>
    <t>Nenadálová, Sárka;Hamplová, Kateřina;Johová, Petra</t>
  </si>
  <si>
    <t>Science: Physics; Engineering: Civil; Engineering</t>
  </si>
  <si>
    <t>Sustainable Production</t>
  </si>
  <si>
    <t>Valerga Puerta, Ana Pilar;Kolisnychenko, Stanislav</t>
  </si>
  <si>
    <t>Engineering: Mechanical; Engineering: Manufacturing</t>
  </si>
  <si>
    <t>Green Building Materials</t>
  </si>
  <si>
    <t>Specialized Collections</t>
  </si>
  <si>
    <t>Martínez-Barrera, Gonzalo;Kolisnychenko, Stanislav</t>
  </si>
  <si>
    <t>Sustainable Green Construction and Nano-Technology</t>
  </si>
  <si>
    <t>Shebl, Sayed;Helal, Magdy;Shoukry, Hamada</t>
  </si>
  <si>
    <t>Engineering: Construction; Science; Engineering</t>
  </si>
  <si>
    <t>Sacred Trees of India : Adornment and Adoration As an Alternative to the Commodification of Nature</t>
  </si>
  <si>
    <t>Cambridge Scholars Publishing</t>
  </si>
  <si>
    <t>Fowler-Smith, Louise</t>
  </si>
  <si>
    <t>Human Impacts at a Planetary Scale : Why System Change Is Essential</t>
  </si>
  <si>
    <t>Sherrard-Smith, Ellie</t>
  </si>
  <si>
    <t>Environmentally Internally Displaced Persons in the Northeastern Backlands of Brazil : A Case Study</t>
  </si>
  <si>
    <t>Pacifico, Andrea Pacheco</t>
  </si>
  <si>
    <t>Sustainable Architecture</t>
  </si>
  <si>
    <t>Frighi, Valentina;Kolisnychenko, Stanislav</t>
  </si>
  <si>
    <t>Key Engineering Materials and Technologies</t>
  </si>
  <si>
    <t>Key Engineering Materials Ser.</t>
  </si>
  <si>
    <t>Tan, Kiang Hwee;Fujiwara, Akihiko;Zaki, Ruhiyuddin Mohd;Tanaka, Masaru;Ikram, Tahir</t>
  </si>
  <si>
    <t>Medicine; Engineering: Civil; Science</t>
  </si>
  <si>
    <t>International Perspectives on Sustainability Reporting</t>
  </si>
  <si>
    <t>Buallay, Amina Mohamed</t>
  </si>
  <si>
    <t>HD60-60.5</t>
  </si>
  <si>
    <t>Community Participation and Civic Engagement in the Digital Era : Localizing Sustainable Development</t>
  </si>
  <si>
    <t>Emerald Points Ser.</t>
  </si>
  <si>
    <t>Singh, Mudit Kumar</t>
  </si>
  <si>
    <t>HT401-485</t>
  </si>
  <si>
    <t>Achievements and Trends in Material Forming</t>
  </si>
  <si>
    <t>Vincze, Gabriela;Barlat, édéric</t>
  </si>
  <si>
    <t>Computer Science/IT; Engineering: Manufacturing; Science: Physics</t>
  </si>
  <si>
    <t>Green Chemistry : And un Sustainability Development Goals</t>
  </si>
  <si>
    <t>Green Chemical Processing Ser.</t>
  </si>
  <si>
    <t>Benvenuto, Mark Anthony;Kosmas, Steven</t>
  </si>
  <si>
    <t>660.028/6</t>
  </si>
  <si>
    <t>Strategies to Achieve Sustainable Development Goals (SDGs): a Road Map for Global Development</t>
  </si>
  <si>
    <t>Nova Science Publishers, Incorporated</t>
  </si>
  <si>
    <t>Agriculture Issues and Policies Ser.</t>
  </si>
  <si>
    <t>Srivastava, Rajani</t>
  </si>
  <si>
    <t>Sustainable Railway Engineering and Operations</t>
  </si>
  <si>
    <t>Transport and Sustainability Ser.</t>
  </si>
  <si>
    <t>Blainey, Simon;Preston, John</t>
  </si>
  <si>
    <t>HE1001-5600</t>
  </si>
  <si>
    <t>Pandemics, Disasters, Sustainability, Tourism : An Examination of Impact on and Resilience in Caribbean Small Island Developing States</t>
  </si>
  <si>
    <t>Bethell-Bennett, Ian;A. Rolle, Sophia;Minnis, Jessica;Okumus, Fevzi</t>
  </si>
  <si>
    <t>COVID-19 and the Sustainable Development Goals : Societal Influence</t>
  </si>
  <si>
    <t>Elsevier</t>
  </si>
  <si>
    <t>Hadi Dehghani, Mohammad;Karri, Rama Rao;Roy, Sharmili;Hadi Dehghani, Mohammad;Karri, Rama Rao;Roy, Sharmili</t>
  </si>
  <si>
    <t>Sustainability in Tourism: Understanding Sustainable Solutions for the Tourism Industry</t>
  </si>
  <si>
    <t>Hospitality, Tourism and Marketing Studies</t>
  </si>
  <si>
    <t>Pongponrat, Kannapa</t>
  </si>
  <si>
    <t>Urban Water Crisis and Management : Strategies for Sustainable Development</t>
  </si>
  <si>
    <t>Srivastav, Arun Lal;Madhav, Sughosh;Singh, Abhishek Kumar;Valsami-Jones, Eugenia</t>
  </si>
  <si>
    <t>Engineered Nanomaterials for Sustainable Agricultural Production, Soil Improvement and Stress Management</t>
  </si>
  <si>
    <t>Plant Biology, Sustainability and Climate Change Ser.</t>
  </si>
  <si>
    <t>Husen, Azamal</t>
  </si>
  <si>
    <t>Myconanotechnology: Green Chemistry for Sustainable Development</t>
  </si>
  <si>
    <t>Mycology: Current and Future Developments Ser.</t>
  </si>
  <si>
    <t>Savita;Srivastava, Anju;Jain, Reena</t>
  </si>
  <si>
    <t>Science: Biology/Natural History</t>
  </si>
  <si>
    <t>Attaining the 2030 Sustainable Development Goal of Industry, Innovation and Infrastructure</t>
  </si>
  <si>
    <t>Family Businesses on a Mission Ser.</t>
  </si>
  <si>
    <t>Birdthistle, Naomi;Hales, Rob</t>
  </si>
  <si>
    <t>HC79.E5 A883 2022</t>
  </si>
  <si>
    <t>Sustainable development. ; Family-owned business enterprises-Algeria-Case studies. ; Family-owned business enterprises-Japan-Case studies. ; Family-owned business enterprises-Germany-Case studies. ; Family-owned business enterprises-Australia-Case studies.</t>
  </si>
  <si>
    <t>Responsible Management in Africa, Volume 2 : Ethical Work and Sustainability</t>
  </si>
  <si>
    <t>Ogunyemi, Kemi;Ogunyemi, Omowumi;Anozie, Amaka</t>
  </si>
  <si>
    <t>HD60.5.A35 R47 2022</t>
  </si>
  <si>
    <t>Social responsibility of business-Africa.</t>
  </si>
  <si>
    <t>Crossroads of Heritage and Religion : Legacy and Sustainability of World Heritage Site Moravian Christiansfeld</t>
  </si>
  <si>
    <t>DAMSHOLT, Tine;MELCHIOR, Marie Riegels;PETTERSON, Christina;REEH, Tine</t>
  </si>
  <si>
    <t>DL291.C5 C76 2022</t>
  </si>
  <si>
    <t>Attaining the 2030 Sustainable Development Goal of Quality Education</t>
  </si>
  <si>
    <t>LC5215 .A883 2022</t>
  </si>
  <si>
    <t>Educational equalization. ; Continuing education. ; Family-owned business enterprises.</t>
  </si>
  <si>
    <t>Water and Climate Change : Sustainable Development, Environmental and Policy Issues</t>
  </si>
  <si>
    <t>Letcher, Trevor M.;Letcher, Trevor M.</t>
  </si>
  <si>
    <t>QH545.W3 W384 2022</t>
  </si>
  <si>
    <t>Water-Pollution-Environmental aspects. ; Water conservation.</t>
  </si>
  <si>
    <t>Environmental Sociology : Risk and Sustainability in Modernity</t>
  </si>
  <si>
    <t>Lenzi, Cristiano Luis</t>
  </si>
  <si>
    <t>GE195 .L469 2022</t>
  </si>
  <si>
    <t>Environmental sociology. ; Risk-Sociological aspects. ; Sustainable development-Social aspects.</t>
  </si>
  <si>
    <t>Renewable Carbon : Science, Technology and Sustainability</t>
  </si>
  <si>
    <t>Advances in Green and Sustainable Chemistry Ser.</t>
  </si>
  <si>
    <t>Vaz Jr., Silvio</t>
  </si>
  <si>
    <t>HC85 .V39 2022</t>
  </si>
  <si>
    <t>Renewable natural resources.. ; Carbon-Environmental aspects. ; Green chemistry..</t>
  </si>
  <si>
    <t>Materials and Technologies for Sustainability</t>
  </si>
  <si>
    <t>Pramanik, Alokesh;Shebl, Sayed;Shoukry, Hamada</t>
  </si>
  <si>
    <t>Engineering; Science</t>
  </si>
  <si>
    <t>Festival and Event Tourism : Building Resilience and Promoting Sustainability</t>
  </si>
  <si>
    <t>Sharma, Anukrati;Kumar, Jeetesh;Turaev, Bakhodir;Mohanty, Priyakrushna</t>
  </si>
  <si>
    <t>Property Investment : Sustainability and Climate Change - Part I</t>
  </si>
  <si>
    <t>Journal of Property Investment and Finance Ser.</t>
  </si>
  <si>
    <t>French, Nick;Warren-Myers, Georgia</t>
  </si>
  <si>
    <t>Renewable Energy and Sustainability : Prospects in the Developing Economies</t>
  </si>
  <si>
    <t>Khan, Imran</t>
  </si>
  <si>
    <t>Engineering: Electrical; Engineering; Economics; Environmental Studies</t>
  </si>
  <si>
    <t>TK1041 .K436 2022</t>
  </si>
  <si>
    <t>Electric power production-Developing countries. ; Renewable energy sources-Developing countries.</t>
  </si>
  <si>
    <t>Chitin and Chitosan : Discoveries and Applications for Sustainability</t>
  </si>
  <si>
    <t>Crini, Gregorio</t>
  </si>
  <si>
    <t>TP248.65.C55 C756 2022</t>
  </si>
  <si>
    <t>Chitin-Industrial applications. ; Chitosan-Metabolism.</t>
  </si>
  <si>
    <t>Microbial Resource Technologies for Sustainable Development</t>
  </si>
  <si>
    <t>Singh, Joginder;Sharma, Deepansh</t>
  </si>
  <si>
    <t>Engineering; Engineering: Chemical; Science; Science: Biology/Natural History</t>
  </si>
  <si>
    <t>QR53 .M537 2022</t>
  </si>
  <si>
    <t>Industrial microbiology. ; Sustainable development.</t>
  </si>
  <si>
    <t>Futuristic Trends for Sustainable Development and Sustainable Ecosystems</t>
  </si>
  <si>
    <t>Engineering Science Reference</t>
  </si>
  <si>
    <t>Ortiz-Rodriguez, Fernando;Tiwari, Sanju;Iyer, Sailesh;Medina-Quintero, José Melchor</t>
  </si>
  <si>
    <t>TD170.2 .F888 2022</t>
  </si>
  <si>
    <t>Environmental protection-Data processing. ; Artificial intelligence-Industrial applications. ; Sustainable development-Data processing.</t>
  </si>
  <si>
    <t>Sustainability and the Future of Work and Entrepreneurship for the Underserved</t>
  </si>
  <si>
    <t>Business Science Reference</t>
  </si>
  <si>
    <t>Rolle, JoAnn Denise;Crump, Micah</t>
  </si>
  <si>
    <t>HB615 .S878 2022</t>
  </si>
  <si>
    <t>Entrepreneurship. ; Income distribution. ; Minority business enterprises.</t>
  </si>
  <si>
    <t>Analyzing Sustainability in Peripheral, Ultra-Peripheral, and Low-Density Regions</t>
  </si>
  <si>
    <t>Castanho, Rui Alexandre</t>
  </si>
  <si>
    <t>CB450 .A535 2022</t>
  </si>
  <si>
    <t>Borderlands. ; City planning. ; Municipal engineering.</t>
  </si>
  <si>
    <t>Frameworks for Sustainable Development Goals to Manage Economic, Social, and Environmental Shocks and Disasters</t>
  </si>
  <si>
    <t>Popescu, Cristina Raluca Gh</t>
  </si>
  <si>
    <t>HC79.E5 F6953</t>
  </si>
  <si>
    <t>Fiber Crop-Based Phytoremediation : Socio-Economic and Environmental Sustainability</t>
  </si>
  <si>
    <t>Pandey, Vimal Chandra;Mahajan, Pooja;Saikia, Purabi;Praveen, Ashish</t>
  </si>
  <si>
    <t>TD192.75 .P363 2022</t>
  </si>
  <si>
    <t>Phytoremediation.</t>
  </si>
  <si>
    <t>Organocatalysis : A Green Tool for Sustainable Developments</t>
  </si>
  <si>
    <t>Krishna Banik, Bimal;Banerjee, Bubun</t>
  </si>
  <si>
    <t>QD505 .O743 2022</t>
  </si>
  <si>
    <t>Chemistry, Organic. ; Catalysis. ; Green chemistry.</t>
  </si>
  <si>
    <t>Handbook of Research on Building Inclusive Global Knowledge Societies for Sustainable Development</t>
  </si>
  <si>
    <t>Information Science Reference</t>
  </si>
  <si>
    <t>HM851 .H363 2022</t>
  </si>
  <si>
    <t>Information society. ; Sustainable development. ; Smart cities.</t>
  </si>
  <si>
    <t>Attaining the 2030 Sustainable Development Goal of Decent Work and Economic Growth</t>
  </si>
  <si>
    <t>Economic development. ; Sustainable development.</t>
  </si>
  <si>
    <t>Clean Technologies and Sustainable Development in Civil Engineering</t>
  </si>
  <si>
    <t>Felseghi, Raluca Andreea;Cobîrzan, Nicoleta;Raboaca, Maria Simona</t>
  </si>
  <si>
    <t>Engineering; Engineering: Civil; Engineering: Environmental</t>
  </si>
  <si>
    <t>TA163 .C543 2022</t>
  </si>
  <si>
    <t>Sustainable engineering. ; Sustainable development.</t>
  </si>
  <si>
    <t>Environmental Sustainability, Growth Trajectory and Gender : Contemporary Issues of Developing Economies</t>
  </si>
  <si>
    <t>Chakraborty, Chandrima;Pal, Dipyaman</t>
  </si>
  <si>
    <t>HD82 .C435 2022</t>
  </si>
  <si>
    <t>Social Entrepreneurs : Mobilisers of Social Change</t>
  </si>
  <si>
    <t>Developments in Corporate Governance and Responsibility Ser.</t>
  </si>
  <si>
    <t>Crowther, David;Quoquab, Farzana</t>
  </si>
  <si>
    <t>HB615 .C769 2022</t>
  </si>
  <si>
    <t>Environmental Sustainability and Industries : Technologies for Solid Waste, Wastewater, and Air Treatment</t>
  </si>
  <si>
    <t>Singh, Pardeep;Bassin, Joao Paulo;Rajkhowa, Sanchayita;Hussain, Chaudhery Mustansar;Oraon, Ramesh</t>
  </si>
  <si>
    <t>Engineering; Engineering: Environmental; Law</t>
  </si>
  <si>
    <t>K3592.72 .E585 2022</t>
  </si>
  <si>
    <t>Sustainable engineering. ; Pollution prevention. ; Environmental engineering.</t>
  </si>
  <si>
    <t>Recycling and Reusing of Engineering Materials : Recycling for Sustainable Developments</t>
  </si>
  <si>
    <t>Khan, Waseem S.;Asmatulu, Eylem;Uddin, Nizam;Asmatulu, R.;Khan, Waseem S.;Asmatulu, Eylem;Uddin, Nizam;Asmatulu, Ramazan</t>
  </si>
  <si>
    <t>TA403 .K436 2022</t>
  </si>
  <si>
    <t>Algal Biorefining: Resource Expenditure and Exergo-Environmental Sustainability</t>
  </si>
  <si>
    <t>Waste and Waste Management Ser.</t>
  </si>
  <si>
    <t>Ofori-Boateng, Cynthia</t>
  </si>
  <si>
    <t>Engineering: Chemical</t>
  </si>
  <si>
    <t>Environmental, Physiological and Chemical Controls of Adventitious Rooting in Cuttings</t>
  </si>
  <si>
    <t>SB123.75 .E585 2022</t>
  </si>
  <si>
    <t>Plant cuttings-Rooting. ; Roots (Botany)-Formation.</t>
  </si>
  <si>
    <t>Systemic Inequality, Sustainability and COVID-19</t>
  </si>
  <si>
    <t>Research in Political Sociology Ser.</t>
  </si>
  <si>
    <t>Aladuwaka, Seela;Wejnert, Barbara;Alagan, Ram</t>
  </si>
  <si>
    <t>HC79.E5 S978 2022</t>
  </si>
  <si>
    <t>COVID-19 (Disease) ; Equality. ; Sustainability.</t>
  </si>
  <si>
    <t>Handbook of Research on SDGs for Economic Development, Social Development, and Environmental Protection</t>
  </si>
  <si>
    <t>HC79.E5 H363 2022</t>
  </si>
  <si>
    <t>Sustainable development. ; Environmental policy-Economic aspects.</t>
  </si>
  <si>
    <t>International Perspectives on Value Creation and Sustainability Through Social Entrepreneurship</t>
  </si>
  <si>
    <t>Magd, Hesham;Singh, Dharmendra;Syed, Raihan Taqui;Spicer, David</t>
  </si>
  <si>
    <t>HD60 .I6645</t>
  </si>
  <si>
    <t>Part 2 : Disaster Risk Reduction and Resilience Building for Sustainable Society</t>
  </si>
  <si>
    <t>International Journal of Disaster Resilience in the Built Environment Ser.</t>
  </si>
  <si>
    <t>Amaratunga, Dilanthi;Haigh, Richard;Djalante, Riyanti</t>
  </si>
  <si>
    <t>Globalization, Income Distribution and Sustainable Development : A Theoretical and Empirical Investigation</t>
  </si>
  <si>
    <t>Chandra Das, Ramesh</t>
  </si>
  <si>
    <t>HF1359 .G563 2022</t>
  </si>
  <si>
    <t>Sustainable development. ; Globalization-Economic aspects. ; Income distribution.</t>
  </si>
  <si>
    <t>Algae-Based Biomaterials for Sustainable Development : Biomedical, Environmental Remediation and Sustainability Assessment</t>
  </si>
  <si>
    <t>Ngo, Hao Huu;Guo, Wenshan;Pandey, Ashok;Chang, Jo-Shu;Lee, Duu-Jong;Ngo, Huu Hao;Guo, Wenshan;Pandey, Ashok;Chang, Jo-Shu;Lee, Duu-Jong</t>
  </si>
  <si>
    <t>TP339 .A443 2022</t>
  </si>
  <si>
    <t>Biomass energy. ; Biomass energy-Research.</t>
  </si>
  <si>
    <t>COVID-19 in the African Continent : Sustainable Development and Socioeconomic Shocks</t>
  </si>
  <si>
    <t>Osabuohien, Evans;Odularu, Gbadebo;Ufua, Daniel;Osabohien, Romanus</t>
  </si>
  <si>
    <t>HC800.Z9 C685 2022</t>
  </si>
  <si>
    <t>Sustainable development-Africa. ; COVID-19 Pandemic, 2020-</t>
  </si>
  <si>
    <t>Greenwashing : Foundations and Emerging Research on Corporate Sustainability and Deceptive Communication</t>
  </si>
  <si>
    <t>Vollero, Agostino</t>
  </si>
  <si>
    <t>HF5387 .V655 2022</t>
  </si>
  <si>
    <t>Greenwashing. ; Business ethics.</t>
  </si>
  <si>
    <t>Smart Villages, Rural Infrastructure and Sustainable Development</t>
  </si>
  <si>
    <t>Built Environment Project and Asset Management Ser.</t>
  </si>
  <si>
    <t>Kumaraswamy, Mohan;Doloi, Hemanta;Crawford, Robert</t>
  </si>
  <si>
    <t>Biochar in Agriculture for Achieving Sustainable Development Goals</t>
  </si>
  <si>
    <t>Tsang, Daniel C. W.;Ok, Yong-Sik</t>
  </si>
  <si>
    <t>Agriculture; Engineering; Engineering: Chemical</t>
  </si>
  <si>
    <t>TP248.B55 B563 2022</t>
  </si>
  <si>
    <t>Soil amendments. ; Sustainable agriculture. ; Biochar.</t>
  </si>
  <si>
    <t>Technology for Sustainable Development</t>
  </si>
  <si>
    <t>Advances in Science and Technology Ser.</t>
  </si>
  <si>
    <t>Maulana, Ahdiar Fikri;Bahiuddin, Irfan;Nurfaida, Wakhidatik</t>
  </si>
  <si>
    <t>NC291 .V58 2010</t>
  </si>
  <si>
    <t>Drawing, Swiss.</t>
  </si>
  <si>
    <t>Abioye, Abiodun A.;Babalola, Bukola J.;Bamidele, Olufemi E.;Ajayi, Oluseyi O.</t>
  </si>
  <si>
    <t>GE195</t>
  </si>
  <si>
    <t>Materials. ; Materials--Congresses. ; Sustainability.</t>
  </si>
  <si>
    <t>Innovative Economic, Social, and Environmental Practices for Progressing Future Sustainability</t>
  </si>
  <si>
    <t>Goi, Chai Lee</t>
  </si>
  <si>
    <t>HC79.E5 I566 2022</t>
  </si>
  <si>
    <t>Economic development-Environmental aspects. ; Sustainable development.</t>
  </si>
  <si>
    <t>Vernacular Architecture : Sustainability and Risks</t>
  </si>
  <si>
    <t>Journal of Cultural Heritage Management and Sustainable Development Ser.</t>
  </si>
  <si>
    <t>Vileikis, Ona;Mileto, Camilla;López-Manzanares, Fernando</t>
  </si>
  <si>
    <t>Urban Sustainability and Energy Management of Cities for Improved Health and Well-Being</t>
  </si>
  <si>
    <t>González-Lezcano, Roberto Alonso</t>
  </si>
  <si>
    <t>HT241 .G669 2022</t>
  </si>
  <si>
    <t>Sustainable urban development. ; Municipal engineering.</t>
  </si>
  <si>
    <t>Multi-Level Analysis of Sustainable Business Practices in Emerging Countries</t>
  </si>
  <si>
    <t>International Journal of Organizational Analysis Ser.</t>
  </si>
  <si>
    <t>Temouri, Yama;Jyoti, Jeevan;Chahal, Hardeep</t>
  </si>
  <si>
    <t>Sustainability Management Strategies and Impact in Developing Countries</t>
  </si>
  <si>
    <t>Community, Environment and Disaster Risk Management Ser.</t>
  </si>
  <si>
    <t>Din, Mohd Fadhil;Alias, Nor Eliza;Hussein, Norelyza;Zaidi, Nur Syamimi</t>
  </si>
  <si>
    <t>TH880 .S878 2022</t>
  </si>
  <si>
    <t>Sustainable construction. ; Sustainable construction-Materials.</t>
  </si>
  <si>
    <t>Integrated Environmental Technologies for Wastewater Treatment and Sustainable Development</t>
  </si>
  <si>
    <t>Kumar, Vineet;Kumar, Manish</t>
  </si>
  <si>
    <t>TD745 .I584 2022</t>
  </si>
  <si>
    <t>Sewage-Purification.</t>
  </si>
  <si>
    <t>Preparing Globally Competent Professionals and Leaders for Innovation and Sustainability</t>
  </si>
  <si>
    <t>Guo-Brennan, Linyuan;Guo-Brennan, Michael J.</t>
  </si>
  <si>
    <t>LC1090 .G86 2022</t>
  </si>
  <si>
    <t>Education and globalization. ; International education. ; Education, Higher-Aims and objectives.</t>
  </si>
  <si>
    <t>Handbook of Research on Cultural Tourism and Sustainability</t>
  </si>
  <si>
    <t>Ribeiro de Almeida, Claudia;Martins, Joao Carlos;Gonçalves, Alexandra R.;Quinteiro, Silvia;Gasparini, Maria Laura</t>
  </si>
  <si>
    <t>G156.5.H47 H363 2022</t>
  </si>
  <si>
    <t>Heritage tourism. ; Sustainable tourism.</t>
  </si>
  <si>
    <t>Assessing Progress Towards Sustainability : Frameworks, Tools and Case Studies</t>
  </si>
  <si>
    <t>Teodosiu, Carmen;Fiore, Silvia;Hospido, Almudena</t>
  </si>
  <si>
    <t>HC79.E5 A874 2022</t>
  </si>
  <si>
    <t>Radical Business : How to Transform Your Organization in the Age of Global Crisis</t>
  </si>
  <si>
    <t>A. Davis, John</t>
  </si>
  <si>
    <t>HD58.8 .D385 2022</t>
  </si>
  <si>
    <t>Organizational change. ; Social responsibility of business. ; Organizational change-Moral and ethical aspects.</t>
  </si>
  <si>
    <t>The Equal Pillars of Sustainability</t>
  </si>
  <si>
    <t>Crowther, David;Seifi, Shahla</t>
  </si>
  <si>
    <t>HD60 .E683 2022</t>
  </si>
  <si>
    <t>Social responsibility of business. ; Sustainable development. ; Business ethics.</t>
  </si>
  <si>
    <t>Handbook of Research on Organizational Sustainability in Turbulent Economies</t>
  </si>
  <si>
    <t>Perez-Uribe, Rafael Ignacio;Salcedo-Perez, Carlos;Carvajal-Contreras, Andres</t>
  </si>
  <si>
    <t>HD60 .H363 2022</t>
  </si>
  <si>
    <t>Industrial management. ; Strategic planning. ; Social responsibility of business.</t>
  </si>
  <si>
    <t>Indigenous People and Nature : Insights for Social, Ecological, and Technological Sustainability</t>
  </si>
  <si>
    <t>Chatterjee, Uday;Kashyap, Anil;Everard, Mark;Panda, Gopal Krishna;Mahata, Dinabandhu</t>
  </si>
  <si>
    <t>GN476.7 .I535 2022</t>
  </si>
  <si>
    <t>Traditional ecological knowledge. ; Sustainability. ; Ethnoecology.</t>
  </si>
  <si>
    <t>Contemporary Research Methods in Hospitality and Tourism</t>
  </si>
  <si>
    <t>Okumus, Fevzi;Rasoolimanesh, S. Mostafa;Jahani, Shiva</t>
  </si>
  <si>
    <t>TX911 .C668 2022</t>
  </si>
  <si>
    <t>Sustainability and Health in Intelligent Buildings</t>
  </si>
  <si>
    <t>Habash, Riadh</t>
  </si>
  <si>
    <t>TA656.6  .H333 2022</t>
  </si>
  <si>
    <t>Structural health monitoring. ; Sustainability. ; Clean energy.</t>
  </si>
  <si>
    <t>Sustainability and Competitiveness in the Hospitality Industry</t>
  </si>
  <si>
    <t>Costa, Vânia;Costa, Carlos</t>
  </si>
  <si>
    <t>TX911.3.M27 C678 2022</t>
  </si>
  <si>
    <t>Hospitality industry-Management.</t>
  </si>
  <si>
    <t>Novel AI and Data Science Advancements for Sustainability in the Era of COVID-19</t>
  </si>
  <si>
    <t>Chang, Victor;Abdel-Basset, Mohamed;Ramachandran, Muthu;Green, Nicolas;Wills, Gary</t>
  </si>
  <si>
    <t>RA644.C67 N684 2022</t>
  </si>
  <si>
    <t>COVID-19 Pandemic, 2020- ; Artificial intelligence-Data processing.</t>
  </si>
  <si>
    <t>Smart Cities : A Panacea for Sustainable Development</t>
  </si>
  <si>
    <t>E. Oke, Ayodeji;Segun Stephen, Seyi;Ohis Aigbavboa, Clinton;Rufus Ogunsemi, Deji;Olaniyi Aje, Isaac</t>
  </si>
  <si>
    <t>Engineering; Engineering: Environmental; Social Science</t>
  </si>
  <si>
    <t>TD159.4 .O343 2022</t>
  </si>
  <si>
    <t>Smart cities. ; Sustainable development.</t>
  </si>
  <si>
    <t>Nanomaterials and Nanotechnology for Sustainable Development</t>
  </si>
  <si>
    <t>Materials Science Forum Ser.</t>
  </si>
  <si>
    <t>Mohamed, Mohd Ambri;Berhanuddin, Dilla Duryha;Hamzah, Azrul Azlan</t>
  </si>
  <si>
    <t>TA418.9.N35</t>
  </si>
  <si>
    <t>Nanostructured materials. ; Nanotechnology. ; Sustainable development.</t>
  </si>
  <si>
    <t>Environmental Sustainability and Agenda 2030 : Efforts, Progress and Prospects</t>
  </si>
  <si>
    <t>Advances in Environmental Accounting and Management Ser.</t>
  </si>
  <si>
    <t>Tauringana, Venancio;Moses, Olayinka</t>
  </si>
  <si>
    <t>HC79.E5 T387 2022</t>
  </si>
  <si>
    <t>Technological Development and Impact on Economic and Environmental Sustainability</t>
  </si>
  <si>
    <t>Bayar, Yilmaz;Sasmaz, Mahmut Unsal;Ozturk, Omer Faruk</t>
  </si>
  <si>
    <t>HC79.T4 T434 2022</t>
  </si>
  <si>
    <t>Technological innovations-Economic aspects. ; Technological innovations-Environmental aspects. ; Sustainable development-Technological innovations.</t>
  </si>
  <si>
    <t>Sustainable Developments by Artificial Intelligence and Machine Learning for Renewable Energies</t>
  </si>
  <si>
    <t>Kumar, Krishna;Rao, Ram Shringar;Kaiwartya, Omprakash;Kaiser, Shamim;Padmanaban, Sanjeevikumar</t>
  </si>
  <si>
    <t>TJ808 .S878 2022</t>
  </si>
  <si>
    <t>Renewable energy sources. ; Artificial intelligence-Engineering applications.</t>
  </si>
  <si>
    <t>Peer-To-peer Accommodation and Community Resilience : Implications for Sustainable Development</t>
  </si>
  <si>
    <t>Farmaki, Anna;Ioannides, Dimitri;Kladou, Stella;Adie, Bailey Ashton;Albarran, David;Alonso-Almeida, Maria del Mar;Amore, Alberto;Antoniou, Katerina;Bernardi, Cecilia De;Efthymiadou, Fani</t>
  </si>
  <si>
    <t>TX911</t>
  </si>
  <si>
    <t>Handbook of Research on Green, Circular, and Digital Economies As Tools for Recovery and Sustainability</t>
  </si>
  <si>
    <t>Ordóñez de Pablos, Patricia;Zhang, Xi;Almunawar, Mohammad Nabil</t>
  </si>
  <si>
    <t>HC441 .G745</t>
  </si>
  <si>
    <t>Economic development-Technological innovations-Southeast Asia. ; Sustainable development-Economic aspects-Southeast Asia. ; Information technology-Economic aspects-Southeast Asia.</t>
  </si>
  <si>
    <t>Children in Sustainable and Responsible Tourism</t>
  </si>
  <si>
    <t>Seraphin, Hugues</t>
  </si>
  <si>
    <t>G154.9-155.8</t>
  </si>
  <si>
    <t>Sustainable tourism.</t>
  </si>
  <si>
    <t>Renewable Energy Systems : A Smart Energy Systems Approach to the Choice and Modeling of 100% Renewable Solutions</t>
  </si>
  <si>
    <t>Lund, Henrik</t>
  </si>
  <si>
    <t>Environmental Studies; Engineering; Economics; Engineering: Mechanical</t>
  </si>
  <si>
    <t>TJ808.L86 2014eb</t>
  </si>
  <si>
    <t>333.79/4011</t>
  </si>
  <si>
    <t>Entrepreneurial Rise in the Middle East and North Africa : The Influence of Quadruple Helix on Technological Innovation</t>
  </si>
  <si>
    <t>Advanced Strategies in Entrepreneurship, Education and Ecology Ser.</t>
  </si>
  <si>
    <t>Sindakis, Stavros;Aggarwal, Sakshi</t>
  </si>
  <si>
    <t>HD60.5.M628 A343 2022</t>
  </si>
  <si>
    <t>Technological innovations.</t>
  </si>
  <si>
    <t>Sport Tourism and Local Sustainable Development</t>
  </si>
  <si>
    <t>Sobry, Claude;Cernaianu, Sorina</t>
  </si>
  <si>
    <t>G155.A1 S667 2022</t>
  </si>
  <si>
    <t>Sports and tourism-Environmental aspects.</t>
  </si>
  <si>
    <t>Value Management Implementation in Construction : A Global View</t>
  </si>
  <si>
    <t>E. Oke, Ayodeji;Segun Stephen, Seyi;Ohis Aigbavboa, Clinton</t>
  </si>
  <si>
    <t>Engineering; Business/Management; Engineering: Civil</t>
  </si>
  <si>
    <t>HD9715.A2 O34 2022</t>
  </si>
  <si>
    <t>Construction industry-Management.</t>
  </si>
  <si>
    <t>The Future of Luxury Brands : Artification and Sustainability</t>
  </si>
  <si>
    <t>Joy, Annamma</t>
  </si>
  <si>
    <t>Fine Arts; Economics; Business/Management</t>
  </si>
  <si>
    <t>NK1520 .F888 2022</t>
  </si>
  <si>
    <t>338.4/7</t>
  </si>
  <si>
    <t>Luxuries-Design-Environmental aspects.</t>
  </si>
  <si>
    <t>Materials for Sustainability</t>
  </si>
  <si>
    <t>Salame, Chafic-Touma</t>
  </si>
  <si>
    <t>Science; Medicine; Science: Physics</t>
  </si>
  <si>
    <t>Blockchain Technologies for Sustainable Development in Smart Cities</t>
  </si>
  <si>
    <t>Swarnalatha, P.;Prabu, S.</t>
  </si>
  <si>
    <t>Engineering: Environmental; Social Science; Engineering</t>
  </si>
  <si>
    <t>TD159.4 .B56</t>
  </si>
  <si>
    <t>Sustainable development-Data processing.</t>
  </si>
  <si>
    <t>Research Anthology on Strategies for Achieving Agricultural Sustainability</t>
  </si>
  <si>
    <t>Management Association, Information Resources</t>
  </si>
  <si>
    <t>S494.5.S86 I546 2022</t>
  </si>
  <si>
    <t>Sustainable agriculture. ; Agricultural innovations. ; Sustainable development.</t>
  </si>
  <si>
    <t>Cases on Survival and Sustainability Strategies of Social Entrepreneurs</t>
  </si>
  <si>
    <t>Oham, Charles</t>
  </si>
  <si>
    <t>HD60 .C377</t>
  </si>
  <si>
    <t>Social entrepreneurship-Case studies. ; Social responsibility of business-Case studies.</t>
  </si>
  <si>
    <t>Progress in Green Economics</t>
  </si>
  <si>
    <t>George, Babu</t>
  </si>
  <si>
    <t>Environmental economics. ; Sustainable development.</t>
  </si>
  <si>
    <t>Sustainability Education for a Better World</t>
  </si>
  <si>
    <t>Boojh, Ram;Ishwaran, Natarajan</t>
  </si>
  <si>
    <t>GE196 .S878 2022</t>
  </si>
  <si>
    <t>Sustainability-Study and teaching.</t>
  </si>
  <si>
    <t>Building with Earth : Design and Technology of a Sustainable Architecture Fourth and Revised Edition</t>
  </si>
  <si>
    <t>Birkhaüser</t>
  </si>
  <si>
    <t>Minke, Gernot</t>
  </si>
  <si>
    <t>Engineering; Engineering: Construction; Architecture</t>
  </si>
  <si>
    <t>TH880 .M565 2022</t>
  </si>
  <si>
    <t>Sustainable buildings-Design and construction.</t>
  </si>
  <si>
    <t>Handbook of Research on Resource Management and the Struggle for Water Sustainability in Africa</t>
  </si>
  <si>
    <t>Nojiyeza, Innocent Simphiwe;Mtapuri, Oliver;Bazaanah, Prosper;Netshiozwi, Edzisani Ellen</t>
  </si>
  <si>
    <t>TD315 .H363 2022</t>
  </si>
  <si>
    <t>Water-supply-Africa-Management. ; Water resources development-Africa. ; Sustainable development-Africa.</t>
  </si>
  <si>
    <t>Regenerative and Sustainable Futures for Latin America and the Caribbean : Collective Action for a Region with a Better Tomorrow</t>
  </si>
  <si>
    <t>Gonzalez-Perez, Maria-Alejandra</t>
  </si>
  <si>
    <t>Sustainable development-Caribbean Area-History-21st century. ; Sustainable development-Latin America-History-21st century.</t>
  </si>
  <si>
    <t>The Emerald Handbook of Luxury Management for Hospitality and Tourism</t>
  </si>
  <si>
    <t>S. Kotur, Anupama;Kumar Dixit, Saurabh</t>
  </si>
  <si>
    <t>D72-88</t>
  </si>
  <si>
    <t>Tourism-Management. ; Hospitality industry-Management.</t>
  </si>
  <si>
    <t>Heteropolyacids As Highly Efficient and Green Catalysts Applied in Organic Transformations</t>
  </si>
  <si>
    <t>Heravi, Majid M.;Bamoharram, Fatemeh F.</t>
  </si>
  <si>
    <t>TP155.2.E58 .H473 2022</t>
  </si>
  <si>
    <t>Green chemistry.</t>
  </si>
  <si>
    <t>Heritage Interpretation, Conflict and Reconciliation in East Asia</t>
  </si>
  <si>
    <t>Zhu, Yujie;Logan, William;Vileikis, Ona</t>
  </si>
  <si>
    <t>BS2655.R29 Z48 2022</t>
  </si>
  <si>
    <t>Reconciliation-Biblical teaching. ; Reconciliation-Philosophy.</t>
  </si>
  <si>
    <t>Food Systems Modelling : Tools for Assessing Sustainability in Food and Agriculture</t>
  </si>
  <si>
    <t>Peters, Christian J.;Thilmany, Dawn</t>
  </si>
  <si>
    <t>HD9000.4 .P484 2022</t>
  </si>
  <si>
    <t>Food supply-Mathematical models. ; Food security.</t>
  </si>
  <si>
    <t>Management Strategies for Sustainability, New Knowledge Innovation, and Personalized Products and Services</t>
  </si>
  <si>
    <t>Pejic-Bach, Mirjana;Doğru, Çağlar</t>
  </si>
  <si>
    <t>HD30.2 .M363 2022</t>
  </si>
  <si>
    <t>Information technology-Management. ; Sustainable development. ; Knowledge management.</t>
  </si>
  <si>
    <t>Handbook of Research on Green Synthesis and Applications of Nanomaterials</t>
  </si>
  <si>
    <t>Garg, Rajni;Garg, Rishav;Eddy, Nnabuk Okon</t>
  </si>
  <si>
    <t>T174.7 .G74 2022</t>
  </si>
  <si>
    <t>Nanotechnology-Industrial applications. ; Green chemistry. ; Nanostructured materials.</t>
  </si>
  <si>
    <t>Innovative Strategic Planning and International Collaboration for the Mitigation of Global Crises</t>
  </si>
  <si>
    <t>Antosová, Gabriela</t>
  </si>
  <si>
    <t>HD49 .I566 2022</t>
  </si>
  <si>
    <t>658.4/056</t>
  </si>
  <si>
    <t>Crisis management. ; Strategic planning.</t>
  </si>
  <si>
    <t>Handbook of Research on Changing Dynamics in Responsible and Sustainable Business in the Post-COVID-19 Era</t>
  </si>
  <si>
    <t>Social entrepreneurship. ; Social responsibility of business. ; Sustainable development.</t>
  </si>
  <si>
    <t>Ergonomics and Business Policies for the Promotion of Well-Being in the Workplace</t>
  </si>
  <si>
    <t>Montoya-Reyes, Mildrend;Mendoza-Muñoz, Ismael;Jacobo-Galicia, Gabriela;Cruz-Sotelo, Samantha E.</t>
  </si>
  <si>
    <t>HD7261 .E746 2022</t>
  </si>
  <si>
    <t>Human engineering-Case studies. ; Industrial hygiene-Case studies. ; Psychology, Industrial-Case studies. ; Sustainable development-Case studies. ; Work environment-Case studies.</t>
  </si>
  <si>
    <t>Research Anthology on Business Continuity and Navigating Times of Crisis</t>
  </si>
  <si>
    <t>HD53 .C75195</t>
  </si>
  <si>
    <t>Crisis management.</t>
  </si>
  <si>
    <t>Public Debt Sustainability : International Perspectives</t>
  </si>
  <si>
    <t>Poulson, Barry W.;Merrifield, John;Hanke, Steve H.;Andersson, Fredrik Ng;Blahous, Charles Paul;Capretta, James C.;Couchman, Kurt;Debrun, Xavier;Eichenauer, Vera Z.;Feld, Lars P.</t>
  </si>
  <si>
    <t>HJ8015 .P835 2022</t>
  </si>
  <si>
    <t>Debts, Public-Case studies. ; Public administration-Case studies.</t>
  </si>
  <si>
    <t>Research Anthology on Measuring and Achieving Sustainable Development Goals</t>
  </si>
  <si>
    <t>HC79.E5 R474 2022</t>
  </si>
  <si>
    <t>Environmental economics. ; Environmental policy-Economic aspects. ; Sustainable development.</t>
  </si>
  <si>
    <t>Handbook of Research on Lifestyle Sustainability and Management Solutions Using AI, Big Data Analytics, and Visualization</t>
  </si>
  <si>
    <t>Iyer, Sailesh Suryanarayan;Jain, Arti;Wang, John</t>
  </si>
  <si>
    <t>R858.A3 H363 2022</t>
  </si>
  <si>
    <t>Educational technology. ; Public health-Data processing. ; Medical informatics-Technological innovations. ; Education-Data processing. ; Artificial intelligence-Medical applications. ; Artificial intelligence-Educational applications. ; Medical technology.</t>
  </si>
  <si>
    <t>Iron Ore : Mineralogy, Processing and Environmental Sustainability</t>
  </si>
  <si>
    <t>Lu, Liming</t>
  </si>
  <si>
    <t>QH91 .I766 2022</t>
  </si>
  <si>
    <t>Marine biology.</t>
  </si>
  <si>
    <t>Research Handbook of Innovation for a Circular Economy</t>
  </si>
  <si>
    <t>Edward Elgar Publishing Limited</t>
  </si>
  <si>
    <t>Research Handbooks in Business and Management Ser.</t>
  </si>
  <si>
    <t>Jakobsen, Siri;Lauvås, Thomas;Quatraro, Francesco</t>
  </si>
  <si>
    <t>HC79.E5 R474 2021</t>
  </si>
  <si>
    <t>Sustainable development. ; Waste minimization. ; Recycling industry. ; Managerial economics.</t>
  </si>
  <si>
    <t>Tribology for Sustainability and Reliability</t>
  </si>
  <si>
    <t>Industrial Lubrication and Tribology Ser.</t>
  </si>
  <si>
    <t>Katiyar, Jitendra Kumar;Rao, T.;Ul Haq, Mir Irfan</t>
  </si>
  <si>
    <t>TJ1075.A2 .T753 2021</t>
  </si>
  <si>
    <t>Tribology-Periodicals. ; Lubrication and lubricants-Periodicals. ; Machinery-Periodicals.</t>
  </si>
  <si>
    <t>Microfinance and Sustainable Development in Africa</t>
  </si>
  <si>
    <t>Alhassan, Yahaya;Nwagbara, Uzoechi</t>
  </si>
  <si>
    <t>HG178.3 .A443 2022</t>
  </si>
  <si>
    <t>Handbook of Sustainable Politics and Economics of Natural Resources</t>
  </si>
  <si>
    <t>Elgar Handbooks in Energy, the Environment and Climate Change Ser.</t>
  </si>
  <si>
    <t>Tsani, Stella;Overland, Indra</t>
  </si>
  <si>
    <t>HC79.E5 H363 2021</t>
  </si>
  <si>
    <t>Environmental policy. ; Natural resources-Management. ; Environmental economics. ; Sustainable development.</t>
  </si>
  <si>
    <t>Future Foods : Global Trends, Opportunities, and Sustainability Challenges</t>
  </si>
  <si>
    <t>Bhat, Rajeev</t>
  </si>
  <si>
    <t>HD9000.5 .F888 2022</t>
  </si>
  <si>
    <t>Food supply. ; Food security. ; Food industry and trade.</t>
  </si>
  <si>
    <t>Ionic Liquid-Based Technologies for Environmental Sustainability</t>
  </si>
  <si>
    <t>Jawaid, Mohammad;Ahmad, Akil;Reddy, A. Vijaya Bhaskar</t>
  </si>
  <si>
    <t>Science; Engineering; Engineering: Environmental; Science: Chemistry</t>
  </si>
  <si>
    <t>TD193 .I565 2022</t>
  </si>
  <si>
    <t>Innovative Exploration Methods for Minerals, Oil, Gas, and Groundwater for Sustainable Development</t>
  </si>
  <si>
    <t>Moitra, A. K.;Bhattacharya, Jayanta;Kayal, J. R.;Mukerji, Biplab;Das, A. K.</t>
  </si>
  <si>
    <t>Engineering: Mining; Engineering</t>
  </si>
  <si>
    <t>TN269 .I566 2022</t>
  </si>
  <si>
    <t>Mines and mineral resources. ; Prospecting-Geophysical methods. ; Groundwater-Management.</t>
  </si>
  <si>
    <t>Handbook of Sustainability-Driven Business Strategies in Practice</t>
  </si>
  <si>
    <t>Markovic, Stefan;Sancha, Cristina;Lindgreen, Adam</t>
  </si>
  <si>
    <t>HD30.255 .H363 2021</t>
  </si>
  <si>
    <t>Industrial management-Environmental aspects. ; Strategic planning.</t>
  </si>
  <si>
    <t>Greening China's New Silk Roads : The Sustainable Governance of Belt and Road</t>
  </si>
  <si>
    <t>New Horizons in East Asian Politics Ser.</t>
  </si>
  <si>
    <t>Ferguson, R. J.</t>
  </si>
  <si>
    <t>HC430.E5 F474 2021</t>
  </si>
  <si>
    <t>Yi dai yi lu (Initiative : China) ; Sustainable development-China. ; China-Foreign economic relations. ; China-Economic policy-2000- ; China-Economic conditions-2000-</t>
  </si>
  <si>
    <t>Universities, Entrepreneurial Ecosystems, and Sustainability</t>
  </si>
  <si>
    <t>De Gruyter Studies in Knowledge Management and Entrepreneurial Ecosystems Ser.</t>
  </si>
  <si>
    <t>Fernandes, Cristina;Ramírez-Pasillas, Marcela;Ferreira, João J.</t>
  </si>
  <si>
    <t>LC1085 .U558 2022</t>
  </si>
  <si>
    <t>Academic-industrial collaboration.</t>
  </si>
  <si>
    <t>Cognitive Systems and Signal Processing in Image Processing</t>
  </si>
  <si>
    <t>Cognitive Data Science in Sustainable Computing Ser.</t>
  </si>
  <si>
    <t>Zhang, Yu-Dong;Sangaiah, Arun Kumar</t>
  </si>
  <si>
    <t>TK5102.9 .C646 2022</t>
  </si>
  <si>
    <t>Signal processing-Congresses. ; Artificial intelligence-Biological applications. ; Image processing-Congresses.</t>
  </si>
  <si>
    <t>Smart Agrochemicals for Sustainable Agriculture</t>
  </si>
  <si>
    <t>Chojnacka, Katarzyna;Saeid, Agnieszka</t>
  </si>
  <si>
    <t>S494.5.C86 C465 2022</t>
  </si>
  <si>
    <t>Agricultural innovations. ; Agricultural chemicals. ; Sustainable agriculture.</t>
  </si>
  <si>
    <t>Handbook of Sustainable Concrete and Industrial Waste Management : Recycled and Artificial Aggregate, Innovative Eco-Friendly Binders, and Life Cycle Assessment</t>
  </si>
  <si>
    <t>Colangelo, Francesco;Cioffi, Raffaele;Farina, Ilenia</t>
  </si>
  <si>
    <t>TD897.5 .H363 2022</t>
  </si>
  <si>
    <t>Factory and trade waste-Management. ; Sustainable construction.</t>
  </si>
  <si>
    <t>Reservoir Development</t>
  </si>
  <si>
    <t>Gulf Professional Publishing</t>
  </si>
  <si>
    <t>Sustainable Oil and Gas Development Ser.</t>
  </si>
  <si>
    <t>Islam, M. Rafiqul</t>
  </si>
  <si>
    <t>Engineering; Engineering: Mining</t>
  </si>
  <si>
    <t>TN871 .I853 2022</t>
  </si>
  <si>
    <t>TNT (Chemical) ; Fossil fuels. ; Power resources.</t>
  </si>
  <si>
    <t>Emerging Approaches in Design and New Connections with Nature</t>
  </si>
  <si>
    <t>Özdamar, Esen Gökçe;Tandoğan, Okşan</t>
  </si>
  <si>
    <t>HT241 .O933 2022</t>
  </si>
  <si>
    <t>Sustainable urban development. ; Sustainable design. ; City planning-Environmental aspects.</t>
  </si>
  <si>
    <t>Managing Healthy Livestock Production and Consumption</t>
  </si>
  <si>
    <t>El-Hage Scialabba, Nadia</t>
  </si>
  <si>
    <t>SF61 .M363 2022</t>
  </si>
  <si>
    <t>Livestock. ; Sustainable agriculture.</t>
  </si>
  <si>
    <t>Pathways to Success : Taking Conservation to Scale in Complex Systems</t>
  </si>
  <si>
    <t>Island Press</t>
  </si>
  <si>
    <t>Salafsky, Nick;Margoluis, Richard A.</t>
  </si>
  <si>
    <t>HC79.E5 S2518 2021</t>
  </si>
  <si>
    <t>363.7/068 333.95/16</t>
  </si>
  <si>
    <t>Environmental protection--Management. ; Environmental protection--Planning. ; Conservation projects (Natural resources)</t>
  </si>
  <si>
    <t>Resilience and Sustainability in Law : Theoretical and Critical Approaches</t>
  </si>
  <si>
    <t>Grasso, Marco Ettore</t>
  </si>
  <si>
    <t>K3585 .G737 2021</t>
  </si>
  <si>
    <t>Sustainable development-Law and legislation. ; Environmental law.</t>
  </si>
  <si>
    <t>Measuring Sustainable Development Goals Performance</t>
  </si>
  <si>
    <t>Thore, Sten;Tarverdyan, Ruzanna</t>
  </si>
  <si>
    <t>HC79.E5 T467 2022</t>
  </si>
  <si>
    <t>Sustainable development-Africa.</t>
  </si>
  <si>
    <t>Stories of Fashion, Textiles, and Place : Evolving Sustainable Supply Chains</t>
  </si>
  <si>
    <t>Davis Burns, Leslie;Carver, Jeanne</t>
  </si>
  <si>
    <t>Engineering: Environmental; Engineering; Engineering: Manufacturing</t>
  </si>
  <si>
    <t>TS1625 .B876 2022</t>
  </si>
  <si>
    <t>Woolen and worsted manufacture-Case studies. ; Weavers-Interviews. ; Textile manufacturers-Interviews.</t>
  </si>
  <si>
    <t>Sustainable and Green Supply Chains and Logistics Case Study Collection</t>
  </si>
  <si>
    <t>Bak, Ozlem</t>
  </si>
  <si>
    <t>HD38.5 .S878 2021</t>
  </si>
  <si>
    <t>Business logistics-Environmental aspects. ; Social responsibility of business. ; Logistics.</t>
  </si>
  <si>
    <t>Smart Cities, Citizen Welfare, and the Implementation of Sustainable Development Goals</t>
  </si>
  <si>
    <t>Pego, Ana Cristina</t>
  </si>
  <si>
    <t>HT169.E8 P446 2022</t>
  </si>
  <si>
    <t>City planning-Environmental aspects-Europe. ; City and town life-Psychological aspects. ; Sustainable urban development-Europe.</t>
  </si>
  <si>
    <t>Achieving Sustainability Using Creativity, Innovation, and Education : A Multidisciplinary Approach</t>
  </si>
  <si>
    <t>Fields, Ziska</t>
  </si>
  <si>
    <t>HC79.E5 A245 2022</t>
  </si>
  <si>
    <t>Sustainable development. ; Creative ability in business. ; Self-directed work teams.</t>
  </si>
  <si>
    <t>Advances in Hospitality and Leisure</t>
  </si>
  <si>
    <t>Advances in Hospitality and Leisure Ser.</t>
  </si>
  <si>
    <t>Chen, Joseph S.</t>
  </si>
  <si>
    <t>TX911 .A383 2022</t>
  </si>
  <si>
    <t>Hospitality industry. ; Leisure industry. ; Tourism.</t>
  </si>
  <si>
    <t>SDG9 - Industry, Innovation and Infrastructure</t>
  </si>
  <si>
    <t>Concise Guides to the United Nations Sustainable Development Goals Ser.</t>
  </si>
  <si>
    <t>Velazquez, Luis</t>
  </si>
  <si>
    <t>HD56-57.5</t>
  </si>
  <si>
    <t>Industries-Environmental aspects. ; Sustainable development.</t>
  </si>
  <si>
    <t>Principles of Justice and Real-World Climate Politics</t>
  </si>
  <si>
    <t>Kenehan, Sarah;Katz, Corey</t>
  </si>
  <si>
    <t>GE42 .K464 2021</t>
  </si>
  <si>
    <t>Climatic changes-Moral and ethical aspects. ; Environmental justice.</t>
  </si>
  <si>
    <t>Sustainable Concrete Made with Ashes and Dust from Different Sources : Materials, Properties and Applications</t>
  </si>
  <si>
    <t>Siddique, Rafat;Belarbi, Rafik</t>
  </si>
  <si>
    <t>TA435 .S878 2022</t>
  </si>
  <si>
    <t>Concrete-Analysis. ; Sustainable construction. ; Dust.</t>
  </si>
  <si>
    <t>Green Sustainable Process for Chemical and Environmental Engineering and Science : Switchable Solvents</t>
  </si>
  <si>
    <t>Inamuddin;Boddula, Rajender;Asiri, Abdullah M.</t>
  </si>
  <si>
    <t>Science; Engineering; Engineering: Chemical; Science: Chemistry</t>
  </si>
  <si>
    <t>TP247.5 .G744 2022</t>
  </si>
  <si>
    <t>Solvents. ; Green chemistry.</t>
  </si>
  <si>
    <t>Handbook of Research on Global Aspects of Sustainable Finance in Times of Crises</t>
  </si>
  <si>
    <t>Gok, Ibrahim Yasar</t>
  </si>
  <si>
    <t>HC79.E5 G65 2021</t>
  </si>
  <si>
    <t>Sustainable development. ; Financial crises. ; COVID-19 Pandemic, 2020--Economic aspects.</t>
  </si>
  <si>
    <t>Transformations of Rural Spaces in Mozambique</t>
  </si>
  <si>
    <t>Africa Now Ser.</t>
  </si>
  <si>
    <t>Navarra, Cecilia;Rodrigues, Cristina Udelsmann</t>
  </si>
  <si>
    <t>HN798.Z9 T736 2022</t>
  </si>
  <si>
    <t>Land use, Rural-Mozambique. ; Rural development-Mozambique. ; Mozambique-Rural conditions.</t>
  </si>
  <si>
    <t>Green Chemistry and Computational Chemistry : Shared Lessons in Sustainability</t>
  </si>
  <si>
    <t>Mammino, Liliana L.</t>
  </si>
  <si>
    <t>TP155.2.E58 G744 2022</t>
  </si>
  <si>
    <t>Green chemistry. ; Computational chemistry.</t>
  </si>
  <si>
    <t>Land Reclamation and Restoration Strategies for Sustainable Development : Geospatial Technology Based Approach</t>
  </si>
  <si>
    <t>Bhunia, Gouri Sankar;Chatterjee, Uday;Kashyap, Anil;Shit, Pravat Kumar</t>
  </si>
  <si>
    <t>GE45.M35 L363 2021</t>
  </si>
  <si>
    <t>Spatial data mining.</t>
  </si>
  <si>
    <t>Integration of IoT with Building Information Modelling (IoT-BIM)</t>
  </si>
  <si>
    <t>Smart and Sustainable Built Environment Ser.</t>
  </si>
  <si>
    <t>Pour Rahimian, Farzad;Hosseini, M. Reza</t>
  </si>
  <si>
    <t>QA76.9.B45 .I584 2021</t>
  </si>
  <si>
    <t>Big data-Periodicals. ; Machine learning-Periodicals. ; Internet of things-Periodicals.</t>
  </si>
  <si>
    <t>Cognitive Big Data Intelligence with a Metaheuristic Approach</t>
  </si>
  <si>
    <t>Mishra, Sushruta;Tripathy, Hrudaya Kumar;Mallick, Pradeep Kumar;Sangaiah, Arun Kumar;Chae, Gyoo-Soo</t>
  </si>
  <si>
    <t>QA76.9.B45 C646 2022</t>
  </si>
  <si>
    <t>Big data. ; Metaheuristics.</t>
  </si>
  <si>
    <t>Handbook of Research on Sustainable Development Goals, Climate Change, and Digitalization</t>
  </si>
  <si>
    <t>Climatic changes-Economic aspects. ; Sustainable development-Planning. ; Environmental protection-Planning.</t>
  </si>
  <si>
    <t>New and Future Developments in Microbial Biotechnology and Bioengineering : Sustainable Agriculture: Microorganisms As Biostimulants</t>
  </si>
  <si>
    <t>Singh, Harikesh Bahadur;Vaishnav, Anukool</t>
  </si>
  <si>
    <t>TP248.27.M53 N49 2022</t>
  </si>
  <si>
    <t>Microbial biotechnology.</t>
  </si>
  <si>
    <t>Green and Sustainable Processing</t>
  </si>
  <si>
    <t>Ramasami, Ponnadurai</t>
  </si>
  <si>
    <t>TD193 .C446 2021</t>
  </si>
  <si>
    <t>577/.14</t>
  </si>
  <si>
    <t>Environmental, Social, and Governance Perspectives on Economic Development in Asia</t>
  </si>
  <si>
    <t>International Symposia in Economic Theory and Econometrics Ser.</t>
  </si>
  <si>
    <t>Barnett, William A.;Sergi, Bruno S.</t>
  </si>
  <si>
    <t>SDG12 - Sustainable Consumption and Production : A Revolutionary Challenge for the 21st Century</t>
  </si>
  <si>
    <t>Moore Bernstein, Jennifer;O. Vos, Robert</t>
  </si>
  <si>
    <t>HB801-843</t>
  </si>
  <si>
    <t>Sustainable Development Goals.</t>
  </si>
  <si>
    <t>Chinese Environmental Ethics</t>
  </si>
  <si>
    <t>Yang, Mayfair</t>
  </si>
  <si>
    <t>GE42 .C456 2021</t>
  </si>
  <si>
    <t>Environmentalism-China. ; Environmental ethics-China.</t>
  </si>
  <si>
    <t>Toward Responsible Innovation: Responsibility And Philosophy For A Humanely Sustainable Future</t>
  </si>
  <si>
    <t>Pavie, Xavier</t>
  </si>
  <si>
    <t>T173.8 .P385 2022</t>
  </si>
  <si>
    <t>Technological innovations-Philosophy. ; Technological innovations-Moral and ethical aspects. ; Technology and civilization.</t>
  </si>
  <si>
    <t>What Are the Challenges and Opportunities for Tourism Sustainability in Cyprus?</t>
  </si>
  <si>
    <t>Worldwide Hospitality and Tourism Themes Ser.</t>
  </si>
  <si>
    <t>Garanti, Zanete;Berjozkina, Galina;Teare, Richard</t>
  </si>
  <si>
    <t>G155.C95 .W438 2021</t>
  </si>
  <si>
    <t>Tourism-Cyprus.</t>
  </si>
  <si>
    <t>Empowering Municipal Sustainability : A Guide for Towns, Cities, and Citizens</t>
  </si>
  <si>
    <t>The Alexandra Lajoux Corporate Governance Ser.</t>
  </si>
  <si>
    <t>Lajoux, Alexandra Reed</t>
  </si>
  <si>
    <t>Nature-Based Solutions for More Sustainable Cities : A Framework Approach for Planning and Evaluation</t>
  </si>
  <si>
    <t>Croci, Edoardo;Lucchitta, Benedetta</t>
  </si>
  <si>
    <t>HT170-178</t>
  </si>
  <si>
    <t>City planning-Environmental aspects.</t>
  </si>
  <si>
    <t>Institutional Interconnections and Cross-Boundary Cooperation in Inclusive Business : Case Studies from India and Africa</t>
  </si>
  <si>
    <t>Okada, Yoshitaka;Stanislawski, Sumire</t>
  </si>
  <si>
    <t>Social responsibility of business.</t>
  </si>
  <si>
    <t>Tomato Processing By-Products : Sustainable Applications</t>
  </si>
  <si>
    <t>Jeguirim, Mejdi;Zorpas, Antonis A.</t>
  </si>
  <si>
    <t>Engineering; Business/Management; Engineering: Chemical</t>
  </si>
  <si>
    <t>HD9495.A2 T663 2022</t>
  </si>
  <si>
    <t>Food processing by-products industry. ; Tomato industry. ; Biochar-Industrial applications.</t>
  </si>
  <si>
    <t>Green Finance and Investment Clean Energy Finance and Investment Policy Review of Viet Nam</t>
  </si>
  <si>
    <t>HD9502.V52</t>
  </si>
  <si>
    <t>Energy policy--Vietnam.</t>
  </si>
  <si>
    <t>Moving Towards Transition : Commoning Mobility for a Low-Carbon Future</t>
  </si>
  <si>
    <t>Just Sustainabilities Ser.</t>
  </si>
  <si>
    <t>Adey, Peter;Cresswell, Tim;Lee, Jane Yeonjae;Nikolaeva, Anna;Nóvoa, André;Temenos, Cristina</t>
  </si>
  <si>
    <t>HE193 .A349 2021</t>
  </si>
  <si>
    <t>Electric vehicles. ; Sustainability. ; Transportation and state.</t>
  </si>
  <si>
    <t>Nanotechnology-Based Sustainable Alternatives for the Management of Plant Diseases</t>
  </si>
  <si>
    <t>Micro and Nano Technologies Ser.</t>
  </si>
  <si>
    <t>Balestra, Giorgio Mariano;Fortunati, Elena</t>
  </si>
  <si>
    <t>T174.7 .B354 2022</t>
  </si>
  <si>
    <t>Sustainable Geoscience for Natural Gas SubSurface Systems</t>
  </si>
  <si>
    <t>The Fundamentals and Sustainable Advances in Natural Gas Science and Eng Ser.</t>
  </si>
  <si>
    <t>Wood, David;Cai, Jianchao;Wood, David;Cai, Jianchao</t>
  </si>
  <si>
    <t>Engineering: Mining; Science; Science: Geology; Engineering</t>
  </si>
  <si>
    <t>TN880 .S878 2022</t>
  </si>
  <si>
    <t>Natural gas-Geology.</t>
  </si>
  <si>
    <t>Sustainable Natural Gas Reservoir and Production Engineering</t>
  </si>
  <si>
    <t>Wood, David;Cai, Jianchao</t>
  </si>
  <si>
    <t>Gas reservoirs.</t>
  </si>
  <si>
    <t>Advances in Bioenergy</t>
  </si>
  <si>
    <t>Li, Yebo;Khanal, Samir Kumar</t>
  </si>
  <si>
    <t>TP339 .A383 2021</t>
  </si>
  <si>
    <t>Biomass energy. ; Sustainability.</t>
  </si>
  <si>
    <t>Sustainable Design for Renewable Processes : Principles and Case Studies</t>
  </si>
  <si>
    <t>Martín, Mariano</t>
  </si>
  <si>
    <t>NK1520 .S878 2022</t>
  </si>
  <si>
    <t>Sustainable design. ; Renewable natural resources. ; Sustainable architecture.</t>
  </si>
  <si>
    <t>Climate Crisis and Sustainable Creaturely Care : Integrated Theology, Governance and Justice</t>
  </si>
  <si>
    <t>Nellist, Christina</t>
  </si>
  <si>
    <t>QC981.8.C5 C556 2021</t>
  </si>
  <si>
    <t>Climatic changes-Government policy.</t>
  </si>
  <si>
    <t>Climate Crisis and Creation Care : Historical Perspectives, Ecological Integrity and Justice</t>
  </si>
  <si>
    <t>BT695.5 .C556 2021</t>
  </si>
  <si>
    <t>Climatic changes-Religious aspects-Christianity.</t>
  </si>
  <si>
    <t>Tourism, Climate Change and the Geopolitics of Arctic Development : The Critical Case of Greenland</t>
  </si>
  <si>
    <t>Hall, Derek</t>
  </si>
  <si>
    <t>Tourism/Hospitality; Economics; Environmental Studies</t>
  </si>
  <si>
    <t>G155.G74 .H35 2021</t>
  </si>
  <si>
    <t>Tourism--Greenland. ; Tourism--Environmental aspects--Greenland. ; Economic development--Environmental aspects--Greenland.</t>
  </si>
  <si>
    <t>Towards a Smart, Sustainable and Resilient Built Environment</t>
  </si>
  <si>
    <t>Kumaraswamy, Mohan;Thayaparan, Menaha;Ross, Andrew</t>
  </si>
  <si>
    <t>HC79.E5 .T693 2021</t>
  </si>
  <si>
    <t>Sustainable development-Periodicals.</t>
  </si>
  <si>
    <t>A Healthy Nature Handbook : Illustrated Insights for Ecological Restoration from Volunteer Stewards of Chicago Wilderness</t>
  </si>
  <si>
    <t>Pepper, Justin;Parker, Don</t>
  </si>
  <si>
    <t>Science; Science: Biology/Natural History; Environmental Studies; Economics</t>
  </si>
  <si>
    <t>QH105</t>
  </si>
  <si>
    <t>Chicago Region Biodiversity Council.</t>
  </si>
  <si>
    <t>Green Synthesis of Silver Nanomaterials</t>
  </si>
  <si>
    <t>Nanobiotechnology for Plant Protection Ser.</t>
  </si>
  <si>
    <t>Abd-Elsalam, Kamel A.</t>
  </si>
  <si>
    <t>Engineering; Engineering: General; Science: Chemistry; Science</t>
  </si>
  <si>
    <t>QD262 .G744 2022</t>
  </si>
  <si>
    <t>Organic compounds-Synthesis. ; Green chemistry. ; Nanostructured materials.</t>
  </si>
  <si>
    <t>Voluntary Sustainability Standards : Illusions of Progress and a Way Forward</t>
  </si>
  <si>
    <t>Peter Lang Publishing, Incorporated</t>
  </si>
  <si>
    <t>Hoffmann, Ulrich;Bhutani, Arpit</t>
  </si>
  <si>
    <t>Rethinking Finance in the Face of New Challenges</t>
  </si>
  <si>
    <t>Critical Studies on Corporate Responsibility, Governance and Sustainability Ser.</t>
  </si>
  <si>
    <t>Bourghelle, David;Pérez, Roland;Rozin, Philippe</t>
  </si>
  <si>
    <t>Finance-History.</t>
  </si>
  <si>
    <t>Green Chemistry : Principles and Designing of Green Synthesis</t>
  </si>
  <si>
    <t>De Gruyter Textbook Ser.</t>
  </si>
  <si>
    <t>Moosvi, Syed Kazim;Gulzar Naqash, Waseem;Najar, Mohd. Hanief</t>
  </si>
  <si>
    <t>TP155.2.E58 M667 2021</t>
  </si>
  <si>
    <t>Advances in Food Security and Sustainability</t>
  </si>
  <si>
    <t>Cohen, Marc J.</t>
  </si>
  <si>
    <t>HD9000.5 .A383 2021</t>
  </si>
  <si>
    <t>Food security. ; Food supply.</t>
  </si>
  <si>
    <t>Policies to Reduce Microplastics Pollution in Water Focus on Textiles and Tyres</t>
  </si>
  <si>
    <t>RA566.27</t>
  </si>
  <si>
    <t>Environment.</t>
  </si>
  <si>
    <t>Free Enterprise Environmentalism</t>
  </si>
  <si>
    <t>Block, Walter E.;Coffey, Daniel;Culpepper, Dreda;English, Patrick;Huebert, Jacob;Johnson, Jay;Laporte, Christie;Levendis, John;Morrel, Joseph;Motichek, Amy</t>
  </si>
  <si>
    <t>HC79.E5 F744 2021</t>
  </si>
  <si>
    <t>Environmentalism-Economic aspects. ; Environmental economics.</t>
  </si>
  <si>
    <t>Bureaucratic Rivalry in Mangrove Forest Policy and Management : Multilevel power relations from local to international scales of governance</t>
  </si>
  <si>
    <t>Cuvillier Verlag</t>
  </si>
  <si>
    <t>Khan, Md. Faisal Abedin</t>
  </si>
  <si>
    <t>Science: Biology/Natural History; Science: Botany; Science</t>
  </si>
  <si>
    <t>QK938.M27 K436 2021</t>
  </si>
  <si>
    <t>Mangrove forests. ; Forest management. ; Sustainable development.</t>
  </si>
  <si>
    <t>SDG15 - Life on Land : Towards Effective Biodiversity Management</t>
  </si>
  <si>
    <t>Ahmad Ansari, Nasim;Agus, Cahyono;Kweku Nunoo, Edward</t>
  </si>
  <si>
    <t>GE300 .A573 2021</t>
  </si>
  <si>
    <t>Environmental management. ; Biodiversity. ; Sustainable development.</t>
  </si>
  <si>
    <t>Innovation in Nano-Polysaccharides for Eco-sustainability : From Science to Industrial Applications</t>
  </si>
  <si>
    <t>Singh, Preeti;Manzoor, Kaiser;Ikram, Saiqa;Annamalai, Pratheep Kumar</t>
  </si>
  <si>
    <t>TP248.65.P64 I566 2022</t>
  </si>
  <si>
    <t>Polysaccharides-Biotechnology. ; Polysaccharides-Industrial applications. ; Nanostructured materials-Industrial applications.</t>
  </si>
  <si>
    <t>Agri-Waste and Microbes for Production of Sustainable Nanomaterials</t>
  </si>
  <si>
    <t>Abd-Elsalam, Kamel A.;Periakaruppan, Rajiv;Rajeshkumar, S.</t>
  </si>
  <si>
    <t>TA418.9.N35 A375 2021</t>
  </si>
  <si>
    <t>Nanostructured materials-Environmental aspects. ; Agricultural wastes-Recycling.</t>
  </si>
  <si>
    <t>Climate Justice and Feasibility : Normative Theorizing, Feasibility Constraints, and Climate Action</t>
  </si>
  <si>
    <t>GE220 .C556 2021</t>
  </si>
  <si>
    <t>Environmental justice.</t>
  </si>
  <si>
    <t>Ecological Solidarity and the Kurdish Freedom Movement : Thought, Practice, Challenges, and Opportunities</t>
  </si>
  <si>
    <t>Environment and Society Ser.</t>
  </si>
  <si>
    <t>Hunt, Stephen E.;Clark, John P.;Aslan, Azize;Ayboga, Ercan;Cioni, Fabiana;David, Isabel;Deniz, Dilsa;Dinc, Pinar;Dissard, Laurent;Gibbons, Ceri</t>
  </si>
  <si>
    <t>GE199.M628 E265 2021</t>
  </si>
  <si>
    <t>Environmentalism-Middle East. ; Political ecology-Middle East. ; Social ecology-Middle East.</t>
  </si>
  <si>
    <t>Worldwise Learning : A Teachers Guide to Shaping a Just, Sustainable Future</t>
  </si>
  <si>
    <t>Corwin Teaching Essentials Ser.</t>
  </si>
  <si>
    <t>Marschall, Carla;Crawford, Elizabeth O.</t>
  </si>
  <si>
    <t>LC191 .M377 2021</t>
  </si>
  <si>
    <t>Education and globalization. ; Education-Environmental aspects.</t>
  </si>
  <si>
    <t>Engineering: Environmental; Engineering: Manufacturing; Engineering</t>
  </si>
  <si>
    <t>Woolen and worsted manufacture-Case studies.</t>
  </si>
  <si>
    <t>Thicker Than Water : The Quest for Solutions to the Plastic Crisis</t>
  </si>
  <si>
    <t>Cirino, Erica</t>
  </si>
  <si>
    <t>TD798</t>
  </si>
  <si>
    <t>Advanced Engineering Forum Vol. 42</t>
  </si>
  <si>
    <t>Advanced Engineering Forum Ser.</t>
  </si>
  <si>
    <t>Demian, Mihai;Nicolicescu, Claudiu;Criveanu, Marius Catalin</t>
  </si>
  <si>
    <t>Engineering: Civil; Engineering: Construction; Engineering: General</t>
  </si>
  <si>
    <t>Sustainable Materials and Green Processing for Energy Conversion</t>
  </si>
  <si>
    <t>Cheong, Kuan Yew;Apblett, Allen</t>
  </si>
  <si>
    <t>TK2896 .S878 2022</t>
  </si>
  <si>
    <t>Direct energy conversion. ; Direct energy conversion-Materials.</t>
  </si>
  <si>
    <t>Natural Wastewater Treatment Systems And Sustainability</t>
  </si>
  <si>
    <t>World Scientific Publishing Europe Ltd</t>
  </si>
  <si>
    <t>Gray, Nicholas F</t>
  </si>
  <si>
    <t>TD755 .G739 2021</t>
  </si>
  <si>
    <t>Sewage-Purification-Biological treatment. ; Land treatment of wastewater. ; Sewage lagoons. ; Water-Pollution.</t>
  </si>
  <si>
    <t>Digital Sustainability</t>
  </si>
  <si>
    <t>Digital Policy, Regulation and Governance Ser.</t>
  </si>
  <si>
    <t>Ragnedda, Massimo</t>
  </si>
  <si>
    <t>HC79.E5 .D545 2021</t>
  </si>
  <si>
    <t>International Journal of Social Ecology and Sustainable Development (IJSESD) Volume 12, Issue 4</t>
  </si>
  <si>
    <t>Carayannis, Elias G.</t>
  </si>
  <si>
    <t>HM861 .I584 2021</t>
  </si>
  <si>
    <t>Social ecology.</t>
  </si>
  <si>
    <t>Global Capitalism and Climate Change : The Need for an Alternative World System</t>
  </si>
  <si>
    <t>Baer, Hans A.</t>
  </si>
  <si>
    <t>Science; Environmental Studies; Science: Physics</t>
  </si>
  <si>
    <t>QC903 .B347 2021</t>
  </si>
  <si>
    <t>Climatic changes-Economic aspects.</t>
  </si>
  <si>
    <t>Toward a Healthy Planet</t>
  </si>
  <si>
    <t>Magill, Gerard;Benedict, James</t>
  </si>
  <si>
    <t>GE195 .M345 2021</t>
  </si>
  <si>
    <t>Environmentalism.</t>
  </si>
  <si>
    <t>Wild Souls : Freedom and Flourishing in the Non-Human World</t>
  </si>
  <si>
    <t>Marris, Emma</t>
  </si>
  <si>
    <t>Economics; Environmental Studies; Science; Science: Zoology</t>
  </si>
  <si>
    <t>QL85 .M377 2021</t>
  </si>
  <si>
    <t>Human-animal relationships. ; Human-animal relationships-Moral and ethical aspects. ; Wildlife management.</t>
  </si>
  <si>
    <t>Sustaining Black Music and Culture during COVID-19 : #Verzuz and Club Quarantine</t>
  </si>
  <si>
    <t>Miller, Niya Pickett;Banda, Mtali;Burkhalter, Janée N.;Cheers, Kirstin;Evans, Jabari, M.D.;Lockridge, Aisha Damali;Lyn, Karl O.;Mia, June;Miller, Niya Pickett;Gilchrist-Petty, Eletra S.</t>
  </si>
  <si>
    <t>ML3917.U6 S878 2021</t>
  </si>
  <si>
    <t>African Americans-Music-Social aspects.</t>
  </si>
  <si>
    <t>From Potentials to Reality: Transforming Africa's Food Production : Investment and Policy Priorities for Sufficient, Nutritious and Sustainable Food Supplies</t>
  </si>
  <si>
    <t>Peter Lang GmbH, Internationaler Verlag der Wissenschaften</t>
  </si>
  <si>
    <t>Development Economics and Policy Ser.</t>
  </si>
  <si>
    <t>von Braun, Joachim;Admassie, Assefa;Hendriks, Sheryl;Tadesse, Getaw;Baumüller, Heike</t>
  </si>
  <si>
    <t>338.1/9096</t>
  </si>
  <si>
    <t>Advances in Sustainable Aviation</t>
  </si>
  <si>
    <t>Aircraft Engineering and Aerospace Technology Ser.</t>
  </si>
  <si>
    <t>Webb, Phil</t>
  </si>
  <si>
    <t>TD195.A27 A383 2021</t>
  </si>
  <si>
    <t>Aeronautics-Environmental aspects. ; Aircraft industry-Environmental aspects.</t>
  </si>
  <si>
    <t>OECD Environmental Performance Reviews: Lithuania 2021</t>
  </si>
  <si>
    <t>GE190.S9</t>
  </si>
  <si>
    <t>Sociological Perspectives on Sustainable Development and Poverty Reduction in Rural Populations</t>
  </si>
  <si>
    <t>Semali, Ladislaus M.</t>
  </si>
  <si>
    <t>HC79.P6 S425</t>
  </si>
  <si>
    <t>Rural poor.</t>
  </si>
  <si>
    <t>Environmentally Sustainable Corrosion Inhibitors : Fundamentals and Industrial Applications</t>
  </si>
  <si>
    <t>Hussain, Chaudhery Mustansar;Verma, Chandrabhan;Aslam, Jeenat</t>
  </si>
  <si>
    <t>TA462 .E585 2022</t>
  </si>
  <si>
    <t>Corrosion and anti-corrosives.</t>
  </si>
  <si>
    <t>Sustainable Fish Production and Processing</t>
  </si>
  <si>
    <t>Galanakis, Charis M.;Galanakis, Charis Michael</t>
  </si>
  <si>
    <t>SH329.S87 G353 2022</t>
  </si>
  <si>
    <t>Sustainable fisheries.</t>
  </si>
  <si>
    <t>Personal Sustainability Practices : Faculty Approaches to Walking the Sustainability Talk and Living the un SDGs</t>
  </si>
  <si>
    <t>New Horizons in Sustainability and Business Ser.</t>
  </si>
  <si>
    <t>Starik, Mark;Kanashiro, Patricia</t>
  </si>
  <si>
    <t>Environmental Studies; Home Economics</t>
  </si>
  <si>
    <t>GE196 .P477 2021</t>
  </si>
  <si>
    <t>Sustainable living. ; Green technology.</t>
  </si>
  <si>
    <t>Sustainable Development in EU Foreign Investment Law</t>
  </si>
  <si>
    <t>Nijhoff International Investment Law Ser.</t>
  </si>
  <si>
    <t>Schacherer, Stefanie</t>
  </si>
  <si>
    <t>KJE6433 .S333 2021</t>
  </si>
  <si>
    <t>Investments, Foreign-Law and legislation-European Union countries.</t>
  </si>
  <si>
    <t>Improvements in Bio-Based Building Blocks Production Through Process Intensification and Sustainability Concepts</t>
  </si>
  <si>
    <t>Segovia-Hernandez, Juan Gabriel;Sanchez-Ramirez, Eduardo;Ramirez-Marquez, Cesar;Contreras-Zarazúa, Gabriel</t>
  </si>
  <si>
    <t>TP155.2.E58 S446 2022</t>
  </si>
  <si>
    <t>Green chemistry. ; Biomass-Refining.</t>
  </si>
  <si>
    <t>Circular Economy and Sustainability : Volume 1: Management and Policy</t>
  </si>
  <si>
    <t>Stefanakis, Alexandros;Nikolaou, Ioannis</t>
  </si>
  <si>
    <t>HC79.E5 C573 2022</t>
  </si>
  <si>
    <t>Economic policy-Environmental aspects. ; Management-Environmental aspects. ; Sustainable development.</t>
  </si>
  <si>
    <t>Circular Economy and Sustainability : Volume 2: Environmental Engineering</t>
  </si>
  <si>
    <t>TA170 .C573 2022</t>
  </si>
  <si>
    <t>Environmental engineering.</t>
  </si>
  <si>
    <t>Biomass, Biofuels, Biochemicals : Green-Economy: Systems Analysis for Sustainability</t>
  </si>
  <si>
    <t>Murthy, Ganti S.;Gnansounou, Edgard;Khanal, Samir Kumar;Pandey, Ashok</t>
  </si>
  <si>
    <t>TP339 .M878 2022</t>
  </si>
  <si>
    <t>Applications of Nuclear and Radioisotope Technology : For Peace and Sustainable Development</t>
  </si>
  <si>
    <t>Al Nabhani, Khalid</t>
  </si>
  <si>
    <t>TK9145 .A463 2021</t>
  </si>
  <si>
    <t>Nuclear energy-Technological innovations. ; Nuclear engineering.</t>
  </si>
  <si>
    <t>Cognitive Data Models for Sustainable Environment</t>
  </si>
  <si>
    <t>Bhattacharyya, Siddhartha;Mondal, Naba Kumar;Mondal, Koushik;Singh, Jyoti Prakash;Prakash, Kolla Bhanu</t>
  </si>
  <si>
    <t>TD193 .C646 2022</t>
  </si>
  <si>
    <t>Environmental monitoring-Data processing.</t>
  </si>
  <si>
    <t>Natural Resources Conservation and Advances for Sustainability</t>
  </si>
  <si>
    <t>Jhariya, Manoj Kumar;Meena, Ram Swaroop;Banerjee, Arnab;Meena, Surya Nandan</t>
  </si>
  <si>
    <t>S936 .N388 2021</t>
  </si>
  <si>
    <t>Conservation of natural resources. ; Conservation of natural resources-Social aspects.</t>
  </si>
  <si>
    <t>Carbon Markets Around the Globe : Sustainability and Political Feasibility</t>
  </si>
  <si>
    <t>Rudolph, Sven;Aydos, Elena</t>
  </si>
  <si>
    <t>Law; Environmental Studies</t>
  </si>
  <si>
    <t>K3593.5.C37 R836 2021</t>
  </si>
  <si>
    <t>Emissions trading. ; Emissions trading-Political aspects. ; Emissions trading-Law and legislation.</t>
  </si>
  <si>
    <t>Future Advancements for CSR and the Sustainable Development Goals in a Post-COVID-19 World</t>
  </si>
  <si>
    <t>Pérez, Andrea</t>
  </si>
  <si>
    <t>HD60.3 .F87</t>
  </si>
  <si>
    <t>Sustainable Biopolymer Composites : Biocompatibility, Self-Healing, Modeling, Repair and Recyclability</t>
  </si>
  <si>
    <t>Verma, Deepak;Sharma, Mohit;Goh, Kheng Lim;Jain, Siddharth;Sharma, Himani;Verma, Deepak;Sharma, Mohit;Goh, Kheng-Lim Lim;Jain, Siddharth;Sharma, Himani</t>
  </si>
  <si>
    <t>Engineering; Engineering: Civil; Science: Biology/Natural History; Science</t>
  </si>
  <si>
    <t>TA418.9.C6 S878 2022</t>
  </si>
  <si>
    <t>Biopolymers-Environmental aspects. ; Composite materials-Environmental aspects.</t>
  </si>
  <si>
    <t>Heterogeneous Catalysis in Sustainable Synthesis</t>
  </si>
  <si>
    <t>Torok, Bela;Schaefer, Christian;Kokel, Anne</t>
  </si>
  <si>
    <t>Engineering: Chemical; Science: Chemistry; Science; Engineering</t>
  </si>
  <si>
    <t>QD505 .T676 2022</t>
  </si>
  <si>
    <t>Applications of Biotechnology for Sustainable Textile Production</t>
  </si>
  <si>
    <t>The Textile Institute Book Ser.</t>
  </si>
  <si>
    <t>Shanmugasundaram, O. L.</t>
  </si>
  <si>
    <t>TS1767 .A675 2022</t>
  </si>
  <si>
    <t>Textile fabrics-Environmental aspects.</t>
  </si>
  <si>
    <t>The Use of Sustainability Information : Empirical Evidence from Multinational Corporations</t>
  </si>
  <si>
    <t>Muensteraner Schriften Zur Internationalen Unternehmensrechnung Ser.</t>
  </si>
  <si>
    <t>Gayk, Daniel</t>
  </si>
  <si>
    <t>A Good Drink : In Pursuit of Sustainable Spirits</t>
  </si>
  <si>
    <t>Farrell, Shanna</t>
  </si>
  <si>
    <t>HD9390</t>
  </si>
  <si>
    <t>Industrial Policy for the Sustainable Development Goals Increasing the Private Sector_s Contribution</t>
  </si>
  <si>
    <t>Disruptive Technologies and Eco-Innovation for Sustainable Development</t>
  </si>
  <si>
    <t>Akkucuk, Ulas</t>
  </si>
  <si>
    <t>TD170.3 .D58</t>
  </si>
  <si>
    <t>Challenges and New Opportunities for Tourism in Inland Territories : Ecocultural Resources and Sustainable Initiatives</t>
  </si>
  <si>
    <t>Fernandes, Gonçalo Poeta</t>
  </si>
  <si>
    <t>G156.5.S87 C527</t>
  </si>
  <si>
    <t>Ecotourism-Case studies. ; Sustainable tourism-Case studies.</t>
  </si>
  <si>
    <t>Hydrocarbon Biorefinery : Sustainable Processing of Biomass for Hydrocarbon Biofuels</t>
  </si>
  <si>
    <t>Maity, Sunil Kumar;Gayen, Kalyan;Bhowmick, Tridib Kumar</t>
  </si>
  <si>
    <t>TP248.B55 H937 2022</t>
  </si>
  <si>
    <t>Biomass conversion.</t>
  </si>
  <si>
    <t>Artificial Intelligence for Sustainable Value Creation</t>
  </si>
  <si>
    <t>Pagani, Margherita;Champion, Renaud</t>
  </si>
  <si>
    <t>HC79.I55 A785 2021</t>
  </si>
  <si>
    <t>Artificial intelligence-Economic aspects.</t>
  </si>
  <si>
    <t>Utilization of Hydrogen for Sustainable Energy and Fuels</t>
  </si>
  <si>
    <t>Van de Voorde, Marcel</t>
  </si>
  <si>
    <t>TP359.H8 U855 2021</t>
  </si>
  <si>
    <t>Hydrogen as fuel.</t>
  </si>
  <si>
    <t>Hydrogen Storage for Sustainability</t>
  </si>
  <si>
    <t>TP359.H8 H937 2021</t>
  </si>
  <si>
    <t>Strategic Responses for a Sustainable Future : New Research in International Management</t>
  </si>
  <si>
    <t>Emerald Studies in Global Strategic Responsiveness Ser.</t>
  </si>
  <si>
    <t>Andersen, Torben Juul</t>
  </si>
  <si>
    <t>HB3711-3840</t>
  </si>
  <si>
    <t>Industrial management-Environmental aspects.</t>
  </si>
  <si>
    <t>Virus Outbreaks and Tourism Mobility : Strategies to Counter Global Health Hazards</t>
  </si>
  <si>
    <t>Tourism Security-Safety and Post Conflict Destinations Ser.</t>
  </si>
  <si>
    <t>Kulshreshtha, Sharad Kumar</t>
  </si>
  <si>
    <t>Tourism-Health aspects.</t>
  </si>
  <si>
    <t>Recent Advances in Renewable Energy Technologies : Volume 1</t>
  </si>
  <si>
    <t>Advances in Renewable Energy Technologies Ser.</t>
  </si>
  <si>
    <t>Jeguirim, Mejdi</t>
  </si>
  <si>
    <t>TJ808 .R434 2021</t>
  </si>
  <si>
    <t>Renewable energy sources-Technological innovations. ; Energy development.</t>
  </si>
  <si>
    <t>Medicinal and Environmental Chemistry: Experimental Advances and Simulations (Part II)</t>
  </si>
  <si>
    <t>Khan, Tahmeena;Khan, Abdul Rahman;Raza, Saman</t>
  </si>
  <si>
    <t>Medicine; Engineering; Engineering: Environmental; Pharmacy</t>
  </si>
  <si>
    <t>TD193</t>
  </si>
  <si>
    <t>Pharmaceutical chemistry. ; Water--Pollution. ; Water quality management.</t>
  </si>
  <si>
    <t>Medicinal and Environmental Chemistry: Experimental Advances and Simulations (Part I)</t>
  </si>
  <si>
    <t>Medicine; Science; Science: Biology/Natural History; Pharmacy</t>
  </si>
  <si>
    <t>RS403</t>
  </si>
  <si>
    <t>Bedrijfsdoelen verduurzamen</t>
  </si>
  <si>
    <t>Wageningen Academic Publishers</t>
  </si>
  <si>
    <t>von Meijenfeldt, HugoH.G.</t>
  </si>
  <si>
    <t>Research, Teaching and Actions in Higher Education on the un Sustainable Development Goals</t>
  </si>
  <si>
    <t>Díaz, María Alcantud</t>
  </si>
  <si>
    <t>Environmental Studies; Education</t>
  </si>
  <si>
    <t>GE77 .R474 2021</t>
  </si>
  <si>
    <t>Environmental education-Activity programs.</t>
  </si>
  <si>
    <t>The Achievements of International Law : Essays in Honour of Robin Churchill</t>
  </si>
  <si>
    <t>Hartmann, Jacques;Khaliq, Urfan</t>
  </si>
  <si>
    <t>K3585 .A245 2021</t>
  </si>
  <si>
    <t>Environmental law, International. ; International criminal law. ; International law.</t>
  </si>
  <si>
    <t>Valorization of Agri-Food Wastes and By-Products : Recent Trends, Innovations and Sustainability Challenges</t>
  </si>
  <si>
    <t>Engineering; Engineering: Environmental; Engineering: Chemical</t>
  </si>
  <si>
    <t>TD899.F585 V356 2021</t>
  </si>
  <si>
    <t>Food industry and trade-Waste minimization.</t>
  </si>
  <si>
    <t>Conservation Science and Advocacy for a Planet in Peril : Speaking Truth to Power</t>
  </si>
  <si>
    <t>DellaSala, Dominick A.</t>
  </si>
  <si>
    <t>GE170 .C667 2021</t>
  </si>
  <si>
    <t>Environmental policy-International cooperation.</t>
  </si>
  <si>
    <t>Green Functionalized Nanomaterials for Environmental Applications</t>
  </si>
  <si>
    <t>Shanker, Uma;Hussain, Chaudhery Mustansar;Rani, Manviri</t>
  </si>
  <si>
    <t>TA418.9.N35 G744 2022</t>
  </si>
  <si>
    <t>Nanostructured materials-Environmental aspects. ; Nanostructured materials-Industrial applications. ; Green technology.</t>
  </si>
  <si>
    <t>Sustainable Material Solutions for Solar Energy Technologies : Processing Techniques and Applications</t>
  </si>
  <si>
    <t>Solar Cell Engineering Ser.</t>
  </si>
  <si>
    <t>Fraga, Mariana Amorim;Amos, Delaina;Sonmezoglu, Savas;Subramaniam, Velumani</t>
  </si>
  <si>
    <t>TJ810 .S878 2021</t>
  </si>
  <si>
    <t>Solar energy. ; Sustainable engineering. ; Materials-Environmental aspects.</t>
  </si>
  <si>
    <t>Natur, Umwelt, Nachhaltigkeit : Perspektiven Auf Sprache, Diskurse und Kultur</t>
  </si>
  <si>
    <t>Sprache und Wissen (SuW) Ser.</t>
  </si>
  <si>
    <t>Mattfeldt, Anna;Schwegler, Carolin;Wanning, Berbeli</t>
  </si>
  <si>
    <t>Cognitive Computing for Human-Robot Interaction : Principles and Practices</t>
  </si>
  <si>
    <t>Mittal, Mamta;Shah, Rajiv Ratn;Roy, Sudipta</t>
  </si>
  <si>
    <t>Computer Science/IT; Engineering: Mechanical; Engineering</t>
  </si>
  <si>
    <t>TJ211.49 .C646 2021</t>
  </si>
  <si>
    <t>Human-robot interaction. ; Soft computing.</t>
  </si>
  <si>
    <t>Green Budgeting in OECD Countries</t>
  </si>
  <si>
    <t>Transport in Human Scale Cities</t>
  </si>
  <si>
    <t>NECTAR Series on Transportation and Communications Networks Research Ser.</t>
  </si>
  <si>
    <t>Mladenović, Milos N.;Toivonen, Tuuli;Willberg, Elias</t>
  </si>
  <si>
    <t>HE305 .T736 2021</t>
  </si>
  <si>
    <t>Sustainable transportation. ; Urban transportation.</t>
  </si>
  <si>
    <t>Rethinking Environmental Law : Why Environmental Laws Should Conform to the Laws of Nature</t>
  </si>
  <si>
    <t>Rethinking Law Ser.</t>
  </si>
  <si>
    <t>Laitos, Jan G.</t>
  </si>
  <si>
    <t>K3585 .L358 2021</t>
  </si>
  <si>
    <t>Environmental law. ; Natural law.</t>
  </si>
  <si>
    <t>Environmental Taxation in the Pandemic Era : Opportunities and Challenges</t>
  </si>
  <si>
    <t>Critical Issues in Environmental Taxation Ser.</t>
  </si>
  <si>
    <t>Ashiabor, Hope;Milne, Janet E.;Skou Andersen, Mikael</t>
  </si>
  <si>
    <t>Economics; Law; Business/Management</t>
  </si>
  <si>
    <t>K3585 .E585 2021</t>
  </si>
  <si>
    <t>Environmental impact charges. ; Environmental policy.</t>
  </si>
  <si>
    <t>Restorative Cities : Urban Design for Mental Health and Wellbeing</t>
  </si>
  <si>
    <t>Roe, Jenny;McCay, Layla</t>
  </si>
  <si>
    <t>BF353.5.C53 .R64 2021</t>
  </si>
  <si>
    <t>City and town life-Psychological aspects. ; City dwellers-Psychology. ; City planning-Psychological aspects.</t>
  </si>
  <si>
    <t>Methods in Sustainability Science : Assessment, Prioritization, Improvement, Design and Optimization</t>
  </si>
  <si>
    <t>Ren, Jingzheng</t>
  </si>
  <si>
    <t>HC79.E5 M484 2021</t>
  </si>
  <si>
    <t>Sustainability.</t>
  </si>
  <si>
    <t>Sustainable Production Technology in Food</t>
  </si>
  <si>
    <t>Lorenzo, Jose M.;Munekata, Paulo E. S.;Barba, Francisco J.</t>
  </si>
  <si>
    <t>Engineering; Engineering: Environmental; Business/Management; Economics</t>
  </si>
  <si>
    <t>TD195.F57 S878 2021</t>
  </si>
  <si>
    <t>Agriculture durable. ; Sustainable agriculture. ; Food industry and trade-Environmental aspects.</t>
  </si>
  <si>
    <t>Teaching and Learning in Environmental Law : Pedagogy, Methodology and Best Practice</t>
  </si>
  <si>
    <t>The IUCN Academy of Environmental Law Ser.</t>
  </si>
  <si>
    <t>Kennedy, Amanda;du Plessis, Anél;Fowler, Rob</t>
  </si>
  <si>
    <t>K103.E58 T433 2021</t>
  </si>
  <si>
    <t>Environmental law-Study and teaching.</t>
  </si>
  <si>
    <t>Emerging Ecosystem-Centric Business Models for Sustainable Value Creation</t>
  </si>
  <si>
    <t>Ziouvelou, Xenia;McGroarty, Frank</t>
  </si>
  <si>
    <t>HD45 .E3645</t>
  </si>
  <si>
    <t>Technological innovations-Management.</t>
  </si>
  <si>
    <t>Eco-Friendly Functional Polymers : An Approach from Application-Targeted Green Chemistry</t>
  </si>
  <si>
    <t>Palencia, Manuel;Lerma, Tulio A.;Garcés, Viviana;Mora, Mayra A.;Martínez, Jina M.;Palencia, Sixta L.</t>
  </si>
  <si>
    <t>Engineering; Science: Chemistry; Engineering: Civil; Science</t>
  </si>
  <si>
    <t>TA455.P58 P354 2021</t>
  </si>
  <si>
    <t>Polymers-Environmental aspects. ; Green chemistry.</t>
  </si>
  <si>
    <t>Toxicological Risk Assessment and Multi-System Health Impacts from Exposure</t>
  </si>
  <si>
    <t>Tsatsakis, Aristidis M.</t>
  </si>
  <si>
    <t>RA1226 .T738 2021</t>
  </si>
  <si>
    <t>Environmental toxicology.</t>
  </si>
  <si>
    <t>Green Finance and Investment Fossil-Fuel Subsidies in the EU’s Eastern Partner Countries Estimates and Recent Policy Developments</t>
  </si>
  <si>
    <t>Sustainable Water Initiative for Tomorrow</t>
  </si>
  <si>
    <t>Spellman, Frank R.</t>
  </si>
  <si>
    <t>TC413 .S645 2021</t>
  </si>
  <si>
    <t>Watershed management. ; Water-supply.</t>
  </si>
  <si>
    <t>Entrepreneurship for Social Change</t>
  </si>
  <si>
    <t>Lab for Entrepreneurship and Development Ser.</t>
  </si>
  <si>
    <t>Sergi, Bruno S.;Scanlon, Cole C.;Heine, Luke R. I.</t>
  </si>
  <si>
    <t>HF5001-6182</t>
  </si>
  <si>
    <t>Social entrepreneurship. ; Social change-Research.</t>
  </si>
  <si>
    <t>Quantifying the Sustainability of Public Debt : Time-Varying Evidence from a Developing Country</t>
  </si>
  <si>
    <t>Can, Cansın Kemal;Bağdadioğlu, Necmiddin</t>
  </si>
  <si>
    <t>HJ8015 .C36 2021</t>
  </si>
  <si>
    <t>Debts, Public.</t>
  </si>
  <si>
    <t>Sustaining a Free Society : Roles and Responsibilities of Citizens, Leaders, and Schools</t>
  </si>
  <si>
    <t>Soder, Roger</t>
  </si>
  <si>
    <t>LC89 .S634 2021</t>
  </si>
  <si>
    <t>Democracy and education-United States. ; Civics-Study and teaching-United States.</t>
  </si>
  <si>
    <t>Health and Natural Landscapes : Concepts and Applications</t>
  </si>
  <si>
    <t>Ewert, Alan W.;Mitten, Denise;Overholt, Jillisa</t>
  </si>
  <si>
    <t>RA566 .E948 2021</t>
  </si>
  <si>
    <t>Environmental health.</t>
  </si>
  <si>
    <t>Critical Research Techniques in Animal and Habitat Ecology</t>
  </si>
  <si>
    <t>Conservation Biology and Biodiversity Ser.</t>
  </si>
  <si>
    <t>Campbell, Michael O'Neal</t>
  </si>
  <si>
    <t>Environmental Sustainability and Economy</t>
  </si>
  <si>
    <t>Singh, Pardeep;Verma, Pramit;Perrotti, Daniela;Srivastava, K. K.</t>
  </si>
  <si>
    <t>HC79.E5 E585 2021</t>
  </si>
  <si>
    <t>Sustainable development. ; Economic development.</t>
  </si>
  <si>
    <t>Theories, Techniques, Strategies for Spatial Planners and Designers : Planning, Design, Applications</t>
  </si>
  <si>
    <t>Özyavuz, Murat</t>
  </si>
  <si>
    <t>Environmental Studies; Architecture</t>
  </si>
  <si>
    <t>Sustainable Consumption</t>
  </si>
  <si>
    <t>Greenhaven Publishing LLC</t>
  </si>
  <si>
    <t>Greenhaven Publishing</t>
  </si>
  <si>
    <t>Current Controversies Ser.</t>
  </si>
  <si>
    <t>Heing, Bridey</t>
  </si>
  <si>
    <t>Global Im-Possibilities : Exploring the Paradoxes of Just Sustainabilities</t>
  </si>
  <si>
    <t>Godfrey, Phoebe;Buchanan, Mary</t>
  </si>
  <si>
    <t>HC79.E5 G563 2021</t>
  </si>
  <si>
    <t>Sustainable development-Social aspects. ; Globalization-Social aspects.</t>
  </si>
  <si>
    <t>Asean-china Cooperation On Regional Connectivity And Sustainability</t>
  </si>
  <si>
    <t>Series On Asian Regional Cooperation Studies</t>
  </si>
  <si>
    <t>Guo, Yanjun;Yang, Yue</t>
  </si>
  <si>
    <t>HC441.E5 A843 2021</t>
  </si>
  <si>
    <t>Sustainable development-Southeast Asia. ; Sustainable development-China.</t>
  </si>
  <si>
    <t>Climate Emergency : How Societies Create the Crisis</t>
  </si>
  <si>
    <t>SocietyNow Ser.</t>
  </si>
  <si>
    <t>Harvey, Mark</t>
  </si>
  <si>
    <t>HM(1)-1281</t>
  </si>
  <si>
    <t>Climatic changes-Effect of human beings on. ; Social ecology.</t>
  </si>
  <si>
    <t>Talent Management Innovations in the International Hospitality Industry</t>
  </si>
  <si>
    <t>Talent Management Ser.</t>
  </si>
  <si>
    <t>Jooss, Stefan;Burbach, Ralf;Ruël, Huub</t>
  </si>
  <si>
    <t>Career Mobility. ; Personnel management. ; Career development.</t>
  </si>
  <si>
    <t>Finding Your Treasure : Our Family's Mission to Recycle, Reuse, and Give Back Everything--And How You Can Too</t>
  </si>
  <si>
    <t>Simon &amp; Schuster</t>
  </si>
  <si>
    <t>Tiller Press</t>
  </si>
  <si>
    <t>Williams, Angel</t>
  </si>
  <si>
    <t>TD794.5 .W555 2021</t>
  </si>
  <si>
    <t>Recycling (Waste, etc.) ; Dumpster diving. ; Sustainable living.</t>
  </si>
  <si>
    <t>Remote Sensing and Geographical Information Systems: Environment Risk Prediction and Safety</t>
  </si>
  <si>
    <t>Natural Disaster Research, Prediction and Mitigation Ser.</t>
  </si>
  <si>
    <t>Rustamov, Rustam B.</t>
  </si>
  <si>
    <t>Nature-Based Solutions and Water Security : An Action Agenda for the 21st Century</t>
  </si>
  <si>
    <t>Cassin, Jan;Matthews, John H.;Gunn, Elena Lopez</t>
  </si>
  <si>
    <t>TD345 .N388 2021</t>
  </si>
  <si>
    <t>Water-supply-Management. ; Environmental management.</t>
  </si>
  <si>
    <t>Green Chemistry for Sustainable Textiles : Modern Design and Approaches</t>
  </si>
  <si>
    <t>Ibrahim, Nabil;Hussain, Chaudhery Mustansar</t>
  </si>
  <si>
    <t>Engineering: Manufacturing; Engineering: Environmental; Engineering</t>
  </si>
  <si>
    <t>TD195.T48 G744 2021</t>
  </si>
  <si>
    <t>Textile industry-Environmental aspects. ; Green chemistry. ; Textile chemistry.</t>
  </si>
  <si>
    <t>Sustainable Enterprise Strategies for Optimizing Digital Stewardship : A Guide for Libraries, Archives, and Museums</t>
  </si>
  <si>
    <t>LITA Guides</t>
  </si>
  <si>
    <t>Fritz, Angela I.</t>
  </si>
  <si>
    <t>ZA4080 .F758 2021</t>
  </si>
  <si>
    <t>Digital libraries-Management. ; Electronic information resources-Management. ; Digital preservation.</t>
  </si>
  <si>
    <t>Advances in Environmental Research. Volume 81</t>
  </si>
  <si>
    <t>Advances in Environmental Research Ser.</t>
  </si>
  <si>
    <t>Daniels, Justin A.</t>
  </si>
  <si>
    <t>GE105 .A383 2021</t>
  </si>
  <si>
    <t>Environmental sciences.</t>
  </si>
  <si>
    <t>Multiphase Polylactide Blends : Toward a Sustainable and Green Environment</t>
  </si>
  <si>
    <t>Nofar, Mohammadreza</t>
  </si>
  <si>
    <t>TP1180.B55 N643 2021</t>
  </si>
  <si>
    <t>Polylactic acid. ; Composite materials.</t>
  </si>
  <si>
    <t>Green Finance and Investment Accessing and Using Green Finance in the Kyrgyz Republic Evidence from a Household Survey</t>
  </si>
  <si>
    <t>Age Of Fire Is Over, The: A New Approach To The Energy Transition</t>
  </si>
  <si>
    <t>Petit, Vincent</t>
  </si>
  <si>
    <t>Economics; Engineering; Engineering: Mechanical; Environmental Studies</t>
  </si>
  <si>
    <t>TJ808 .P485 2022</t>
  </si>
  <si>
    <t>Renewable energy sources. ; Energy policy. ; Energy industries.</t>
  </si>
  <si>
    <t>Sustainability Metrics and Indicators of Environmental Impact : Industrial and Agricultural Life Cycle Assessment</t>
  </si>
  <si>
    <t>Jacob-Lopes, Eduardo;Zepka, Leila Queiroz;Costa Depra, Mariany;Jacob-Lopes, Eduardo;Queiroz Zepka, Leila;Costa Depra, Mariany</t>
  </si>
  <si>
    <t>HC79.E5 .J336 2021</t>
  </si>
  <si>
    <t>Sustainable agriculture. ; Sustainable development-Mathematical models. ; Life cycle costing-Environmental aspects.</t>
  </si>
  <si>
    <t>Green Technologies for the Defluoridation of Water</t>
  </si>
  <si>
    <t>Hadi Dehghani, Mohammad;Karri, Rama Rao;Lima, Eder Claudio</t>
  </si>
  <si>
    <t>TD449.5 .G744 2021</t>
  </si>
  <si>
    <t>Water-Purification-Adsorption. ; Water-Fluoridation. ; Green technology.</t>
  </si>
  <si>
    <t>Machine Learning for Sustainable Development</t>
  </si>
  <si>
    <t>De Gruyter Frontiers in Computational Intelligence Ser.</t>
  </si>
  <si>
    <t>Kant Hiran, Kamal;Khazanchi, Deepak;Kumar Vyas, Ajay;Padmanaban, Sanjeevikumar</t>
  </si>
  <si>
    <t>HC79.E5 M33 2021</t>
  </si>
  <si>
    <t>Sustainable development. ; Machine learning.</t>
  </si>
  <si>
    <t>Blockchain 3. 0 for Sustainable Development</t>
  </si>
  <si>
    <t>Khazanchi, Deepak;Kumar Vyas, Ajay;Kant Hiran, Kamal;Padmanaban, Sanjeevikumar</t>
  </si>
  <si>
    <t>QA76.9.B56 B56 2021</t>
  </si>
  <si>
    <t>Blockchains (Databases) ; Sustainable development.</t>
  </si>
  <si>
    <t>Frontiers of Science and Technology : Reports on Technologies for Sustainability - Selected Extended Papers from the Brazilian-German Conference on Frontiers of Science and Technology Symposium (BRAGFOST), Potsdam 5-10 October 2017</t>
  </si>
  <si>
    <t>Kanoun, Olfa;Viehweger, Christian</t>
  </si>
  <si>
    <t>HC79.E5 F766 2021</t>
  </si>
  <si>
    <t>Sustainable development-Congresses. ; Technological innovations-Congresses.</t>
  </si>
  <si>
    <t>Ecological Modernization in the United Arab Emirates? : The Case of Masdar Eco-City</t>
  </si>
  <si>
    <t>Diskussionspapiere Ser.</t>
  </si>
  <si>
    <t>Rietmann, Helena</t>
  </si>
  <si>
    <t>HT243.U52 R548 2021</t>
  </si>
  <si>
    <t>307.1/416095357</t>
  </si>
  <si>
    <t>Sustainable urban development-United Arab Emirates-Abū Ẓaby (Emirate)</t>
  </si>
  <si>
    <t>Research Handbook of Sustainability Agency</t>
  </si>
  <si>
    <t>Teerikangas, Satu;Onkila, Tiina;Koistinen, Katariina</t>
  </si>
  <si>
    <t>HC79.E5 T447 2021</t>
  </si>
  <si>
    <t>Sustainable living. ; Sustainable development.</t>
  </si>
  <si>
    <t>Intellectual Property and Sustainable Markets</t>
  </si>
  <si>
    <t>Elgar Intellectual Property and Global Development Ser.</t>
  </si>
  <si>
    <t>Rognstad, Ole-Andreas;Ørstavik, Inger B.</t>
  </si>
  <si>
    <t>K1401 .I584 2021</t>
  </si>
  <si>
    <t>An Introduction to the Circular Economy</t>
  </si>
  <si>
    <t>Economic Issues, Problems and Perspectives Ser.</t>
  </si>
  <si>
    <t>Morganti, Pierfrancesco</t>
  </si>
  <si>
    <t>HD9975.A2 .I587 2021</t>
  </si>
  <si>
    <t>338.4/76284458</t>
  </si>
  <si>
    <t>Sustainable development. ; Recycling industry. ; Environmental policy.</t>
  </si>
  <si>
    <t>Critical Research Techniques in Animal and Habitat Ecology: International Examples</t>
  </si>
  <si>
    <t>Animal Science, Issues and Research Ser.</t>
  </si>
  <si>
    <t>Jha, Kaushalendra Kumar</t>
  </si>
  <si>
    <t>QH541.2 .C758 2021</t>
  </si>
  <si>
    <t>Animal ecology-Research-Methodology. ; Habitat (Ecology)-Research-Methodology.</t>
  </si>
  <si>
    <t>Who Will Save Amazonia? World Heritage or Full Destruction</t>
  </si>
  <si>
    <t>Environmental Remediation Technologies, Regulations and Safety Ser.</t>
  </si>
  <si>
    <t>Freitas, Marcílio de</t>
  </si>
  <si>
    <t>HC188.A5 W46 2021</t>
  </si>
  <si>
    <t>Sustainable development-Amazon River Region. ; Conservation of natural resources-Amazon River Region.</t>
  </si>
  <si>
    <t>Taiwan: Environmental, Political and Social Issues</t>
  </si>
  <si>
    <t>Asian Political, Economic and Social Issues Ser.</t>
  </si>
  <si>
    <t>Clark, Caleb M.</t>
  </si>
  <si>
    <t>DS799.847 .T359 2021</t>
  </si>
  <si>
    <t>Taiwan-Politics and government-2000- ; Taiwan-Environmental conditions. ; Diplomatic relations.</t>
  </si>
  <si>
    <t>Revisiting the Linkages Between Sustainability, Corporate Social Responsibility and Management Control Systems</t>
  </si>
  <si>
    <t>Corporate Governance: the International Journal of Business in Society Ser.</t>
  </si>
  <si>
    <t>Toyosaki, Hitomi;Hosoda, Masahiro;Sajjad, Aymen</t>
  </si>
  <si>
    <t>HD59 .R485 2021</t>
  </si>
  <si>
    <t>Corporations-Public relations. ; Social responsibility of business.</t>
  </si>
  <si>
    <t>Disease, Disasters and Decisions  A Multi-Method Analysis of Temporary Response Organizations</t>
  </si>
  <si>
    <t>Wegmann, Reto M.</t>
  </si>
  <si>
    <t>HV551.2 .W446 2021</t>
  </si>
  <si>
    <t>Gender Equality in Chile Towards a Better Sharing of Paid and Unpaid Work</t>
  </si>
  <si>
    <t>Water Management and Sustainability in Asia</t>
  </si>
  <si>
    <t>Alias, Nor Eliza;Haniffah, Mohd Ridza Mohd;Harun, Sobri</t>
  </si>
  <si>
    <t>Economics; Environmental Studies; Social Science</t>
  </si>
  <si>
    <t>H1-99</t>
  </si>
  <si>
    <t>Water-supply-Asia-Management.</t>
  </si>
  <si>
    <t>The Uncommon Knowledge of Elinor Ostrom : Essential Lessons for Collective Action</t>
  </si>
  <si>
    <t>Nordman, Erik</t>
  </si>
  <si>
    <t>HD1286</t>
  </si>
  <si>
    <t>333.7 330.092</t>
  </si>
  <si>
    <t>Building a More Sustainable, Resilient, Equitable, and Nourishing Food System : Proceedings of a Workshop</t>
  </si>
  <si>
    <t>National Academies of Sciences, Engineering, and Medicine;Health and Medicine Division;Food and Nutrition Board;Food Forum;Maitin-Shepard, Melissa</t>
  </si>
  <si>
    <t>International Journal of Environmental Sustainability and Green Technologies (IJESGT) Volume 12, Issue 2</t>
  </si>
  <si>
    <t>TD1 .I584 2021</t>
  </si>
  <si>
    <t>Green technology-Periodicals.</t>
  </si>
  <si>
    <t>International Journal of Social Ecology and Sustainable Development (IJSESD) Volume 12, Issue 3</t>
  </si>
  <si>
    <t>Social ecology-Periodicals.</t>
  </si>
  <si>
    <t>International Journal of Sustainable Entrepreneurship and Corporate Social Responsibility (IJSECSR) Volume 6, Issue 2</t>
  </si>
  <si>
    <t>Palazzo, Maria</t>
  </si>
  <si>
    <t>HC79.E5 .I584 2021</t>
  </si>
  <si>
    <t>Social entrepreneurship-Periodicals. ; Sustainability-Periodicals. ; Social responsibility of business-Periodicals.</t>
  </si>
  <si>
    <t>Sustaining the Future of Higher Education</t>
  </si>
  <si>
    <t>Higher Education: Linking Research, Policy and Practice Ser.</t>
  </si>
  <si>
    <t>Broucker, Bruno;Pritchard, Rosalind M. O.;Melin, Göran;Milsom, Clare</t>
  </si>
  <si>
    <t>LB2322.2 .S878 2021</t>
  </si>
  <si>
    <t>Education, Higher-Aims and objectives.</t>
  </si>
  <si>
    <t>Furthering the Frontiers of International Law: Sovereignty, Human Rights, Sustainable Development : Liber Amicorum Nico Schrijver</t>
  </si>
  <si>
    <t>Blokker, Niels M.;Dam-de Jong, Daniëlla;Prislan, Vid</t>
  </si>
  <si>
    <t>KZ3410 .F878 2021</t>
  </si>
  <si>
    <t>Food Supply Chain Management and Logistics : Understanding the Challenges of Production, Operation and Sustainability in the Food Industry</t>
  </si>
  <si>
    <t>Dani, Samir</t>
  </si>
  <si>
    <t>HD9000.5 .D365 2021</t>
  </si>
  <si>
    <t>Produce trade-Management.</t>
  </si>
  <si>
    <t>Aviation Fuels and Environment</t>
  </si>
  <si>
    <t>Sohret, Yasin;Webb, Phil</t>
  </si>
  <si>
    <t>TL704.7 .A953 2021</t>
  </si>
  <si>
    <t>Airplanes-Fuel.</t>
  </si>
  <si>
    <t>The Development Dimension Strengthening Macroprudential Policies in Emerging Asia Adapting to Green Goals and Fintech</t>
  </si>
  <si>
    <t>Monetary policy--Asia.</t>
  </si>
  <si>
    <t>Entrepreneurship and Economic Development : The People and their Environment</t>
  </si>
  <si>
    <t>Koven, Steven G.</t>
  </si>
  <si>
    <t>HB615</t>
  </si>
  <si>
    <t>Entrepreneurship. ; Economic development. ; Environmental policy.</t>
  </si>
  <si>
    <t>Tourism : How to Achieve the Sustainable Development Goals?</t>
  </si>
  <si>
    <t>Séraphin, Hugues;Teare, Richard;Gowreesunkar, Vanessa</t>
  </si>
  <si>
    <t>G155.A1 T687 2021</t>
  </si>
  <si>
    <t>Green Finance and Investment Clean Energy Finance and Investment Policy Review of Indonesia</t>
  </si>
  <si>
    <t>Global Corporate Social Responsibility Initiatives for Reluctant Businesses</t>
  </si>
  <si>
    <t>Khan, Syed Abdul Rehman;Yu, Zhang;Panait, Mirela;Janjua, Laeeq Razzak;Shah, Adeel</t>
  </si>
  <si>
    <t>HD60 .K4835</t>
  </si>
  <si>
    <t>Handbook of Research on Climate Change and the Sustainable Financial Sector</t>
  </si>
  <si>
    <t>Olarewaju, Odunayo Magret;Ganiyu, Idris Olayiwola</t>
  </si>
  <si>
    <t>HG101 .C57</t>
  </si>
  <si>
    <t>Finance-Environmental aspects. ; Sustainable development. ; Climatic changes-Economic aspects.</t>
  </si>
  <si>
    <t>Remote Work and Sustainable Changes for the Future of Global Business</t>
  </si>
  <si>
    <t>Ali, Mohammed</t>
  </si>
  <si>
    <t>HD2336.3 .R466</t>
  </si>
  <si>
    <t>331.25/68</t>
  </si>
  <si>
    <t>Telecommuting. ; Organizational change.</t>
  </si>
  <si>
    <t>Pharmaceuticals in Marine and Coastal Environments : Occurrence, Effects, and Challenges in a Changing World</t>
  </si>
  <si>
    <t>Duran-Alvarez, Juan Carlos;Jiménez-Cisneros, Blanca</t>
  </si>
  <si>
    <t>TD196.D78 P437 2021</t>
  </si>
  <si>
    <t>Drugs-Environmental aspects. ; Marine pollution. ; Marine pollution-Prevention.</t>
  </si>
  <si>
    <t>Forest Resources Resilience and Conflicts</t>
  </si>
  <si>
    <t>Shit, Pravat Kumar;Pourghasemi, Hamid Reza;Adhikary, Partha Pratim;Bhunia, Gouri Sankar;Sati, Vishwambhar Prasad</t>
  </si>
  <si>
    <t>SD387.R4 F674 2021</t>
  </si>
  <si>
    <t>Forests and forestry-Remote sensing. ; Forests and forestry-Economic aspects. ; Sustainable development.</t>
  </si>
  <si>
    <t>Environmental and Health Management of Novel Coronavirus Disease (COVID-19)</t>
  </si>
  <si>
    <t>Hadi Dehghani, Mohammad;Karri, Rama Rao;Roy, Sharmili</t>
  </si>
  <si>
    <t>RA644.C67 E585 2021</t>
  </si>
  <si>
    <t>COVID-19 (Disease) ; COVID-19 (Disease)-Transmission. ; Public health.</t>
  </si>
  <si>
    <t>Handbook on Teaching and Learning for Sustainable Development</t>
  </si>
  <si>
    <t>Leal Filho, Walter;Lange Salvia, Amanda;Frankenberger, Fernanda</t>
  </si>
  <si>
    <t>Sustainable development-Study and teaching. ; Environmental education.</t>
  </si>
  <si>
    <t>Sustainable and Responsible Entrepreneurship and Key Drivers of Performance</t>
  </si>
  <si>
    <t>Popescu, Cristina Raluca Gh;Verma, Rahul</t>
  </si>
  <si>
    <t>HD60 .S884667</t>
  </si>
  <si>
    <t>Social entrepreneurship. ; Sustainable development. ; Social responsibility of business.</t>
  </si>
  <si>
    <t>Handbook of Research on Novel Practices and Current Successes in Achieving the Sustainable Development Goals</t>
  </si>
  <si>
    <t>HC79.E5 N6757</t>
  </si>
  <si>
    <t>Environmental policy. ; Sustainable development.</t>
  </si>
  <si>
    <t>Systematic Architectural Design for Optimal Wind Energy Generation</t>
  </si>
  <si>
    <t>Frontiers in Civil Engineering Ser.</t>
  </si>
  <si>
    <t>Elbakheit, Abdel Rahman</t>
  </si>
  <si>
    <t>CSR and Management Accounting Challenges in a Time of Global Crises</t>
  </si>
  <si>
    <t>Oncioiu, Ionica</t>
  </si>
  <si>
    <t>HF5657.4 .C795</t>
  </si>
  <si>
    <t>Managerial accounting. ; Social responsibility of business.</t>
  </si>
  <si>
    <t>Handbook of Research on Management Techniques and Sustainability Strategies for Handling Disruptive Situations in Corporate Settings</t>
  </si>
  <si>
    <t>Perez-Uribe, Rafael;Ocampo-Guzman, David;Moreno-Monsalve, Nelson Antonio;Fajardo-Moreno, William Stive</t>
  </si>
  <si>
    <t>HD31.2 .M3569</t>
  </si>
  <si>
    <t>Global State of National Urban Policy 2021 Achieving Sustainable Development Goals and Delivering Climate Action</t>
  </si>
  <si>
    <t>OECD;United Nations Human Settlements Programme;United Nations Office for Project Services</t>
  </si>
  <si>
    <t>Sustainable Resource Management : Modern Approaches and Contexts</t>
  </si>
  <si>
    <t>Hussain, Chaudhery Mustansar;Velasco-Munoz, Juan F.</t>
  </si>
  <si>
    <t>HC85 .S878 2021</t>
  </si>
  <si>
    <t>Natural resources-Management.</t>
  </si>
  <si>
    <t>Disaster Resilience and Sustainability : Adaptation for Sustainable Development</t>
  </si>
  <si>
    <t>Shrestha, Sangam;Djalante, Riyanti;Shaw, Rajib;Pal, Indrajit</t>
  </si>
  <si>
    <t>HV551.2 .P355 2021</t>
  </si>
  <si>
    <t>Hazard mitigation. ; Sustainable development.</t>
  </si>
  <si>
    <t>Green Sustainable Process for Chemical and Environmental Engineering and Science : Microbially-Derived Biosurfactants for Improving Sustainability in Industry</t>
  </si>
  <si>
    <t>Inamuddin;Adetunji, Charles Oluwaseun;Asiri, Abdullah Ahmed;Inamuddin;Adetunji, Charles Oluwaseun;Asiri, Abdullah Ahmed</t>
  </si>
  <si>
    <t>Engineering: Chemical; Engineering: Mining; Engineering</t>
  </si>
  <si>
    <t>TN871 .G744 2021</t>
  </si>
  <si>
    <t>Surface active agents-Industrial applications. ; Green chemistry-Industrial applications.</t>
  </si>
  <si>
    <t>Without Trumpets : Focus on Sustainability to Continue Educational Improvement</t>
  </si>
  <si>
    <t>Allred, Susan G.;Foster, Kelly A.</t>
  </si>
  <si>
    <t>LB2822.82 .A57 2021</t>
  </si>
  <si>
    <t>School improvement programs--United States. ; Public schools--United States. ; Public schools--United States.</t>
  </si>
  <si>
    <t>Threats to the Arctic</t>
  </si>
  <si>
    <t>Elias, Scott</t>
  </si>
  <si>
    <t>GE160.A7 .E453 2021</t>
  </si>
  <si>
    <t>363.700911/3</t>
  </si>
  <si>
    <t>Environmental degradation-Arctic regions.</t>
  </si>
  <si>
    <t>Predatory Urbanism : The Metabolism of Megaprojects in Asia</t>
  </si>
  <si>
    <t>Cities Ser.</t>
  </si>
  <si>
    <t>Rizzo, Agatino;Mandal, Anindita</t>
  </si>
  <si>
    <t>HT384.A78 R599 2021</t>
  </si>
  <si>
    <t>Urbanization-Asia.</t>
  </si>
  <si>
    <t>Advancements in Sustainable Architecture and Energy Efficiency</t>
  </si>
  <si>
    <t>González-Lezcano, Roberto A.</t>
  </si>
  <si>
    <t>Architecture; Engineering: Mechanical; Engineering</t>
  </si>
  <si>
    <t>TJ163.5.B84 A278</t>
  </si>
  <si>
    <t>Buildings-Energy conservation. ; Sustainable buildings.</t>
  </si>
  <si>
    <t>Building Agricultural Resilience to Natural Hazard-Induced Disasters</t>
  </si>
  <si>
    <t>OECD;Food and Agriculture Organization of the United Nations</t>
  </si>
  <si>
    <t>Contesting Africa's New Green Revolution : Biotechnology and Philanthrocapitalist Development in Ghana</t>
  </si>
  <si>
    <t>Politics and Development in Contemporary Africa Ser.</t>
  </si>
  <si>
    <t>Ignatova, Jacqueline A.</t>
  </si>
  <si>
    <t>S494.5.I5 .I363 2021</t>
  </si>
  <si>
    <t>Green Revolution.</t>
  </si>
  <si>
    <t>Climate and Capital in the Age of Petroleum : Locating Terminal Landscapes</t>
  </si>
  <si>
    <t>Diamanti, Jeff</t>
  </si>
  <si>
    <t>The Energy Switch : How Companies and Customers Are Transforming the Electrical Grid and the Future of Power</t>
  </si>
  <si>
    <t>Prometheus</t>
  </si>
  <si>
    <t>Kelly-Detwiler, Peter</t>
  </si>
  <si>
    <t>HD9685.U5 K394 2021</t>
  </si>
  <si>
    <t>333.793/20973</t>
  </si>
  <si>
    <t>Electric power consumption--United States. ; Electric utilities--Environmental aspects--United States. ; Energy industries--Environmental aspects--United States.</t>
  </si>
  <si>
    <t>Caring for Your Cherished Objects : The Winterthur Guide</t>
  </si>
  <si>
    <t>Gardiner, Joy;Irving, Joan</t>
  </si>
  <si>
    <t>NK1127.5 .H46 2021</t>
  </si>
  <si>
    <t>745.1028/8</t>
  </si>
  <si>
    <t>Heirlooms--Conservation and restoration.</t>
  </si>
  <si>
    <t>Handbook of Research on Microbial Remediation and Microbial Biotechnology for Sustainable Soil</t>
  </si>
  <si>
    <t>Malik, Junaid Ahmad</t>
  </si>
  <si>
    <t>TD878 .M355 2021</t>
  </si>
  <si>
    <t>Soil remediation.</t>
  </si>
  <si>
    <t>Sovereign Forces : Everyday Challenges to Environmental Governance in Latin America</t>
  </si>
  <si>
    <t>McNeish, John-Andrew</t>
  </si>
  <si>
    <t>HD9502.L32 M37 2021</t>
  </si>
  <si>
    <t>The Fight Against Food Shortages and Surpluses : Perspectives of a Practitioner</t>
  </si>
  <si>
    <t>McClintock, John</t>
  </si>
  <si>
    <t>HD9000.4 .M335 2020</t>
  </si>
  <si>
    <t>Grain--Prices. ; Grain trade. ; Food security.</t>
  </si>
  <si>
    <t>Green Sustainable Process for Chemical and Environmental Engineering and Science : Biosurfactants for the Bioremediation of Polluted Environments</t>
  </si>
  <si>
    <t>Inamuddin;Adetunji, Charles Oluwaseun</t>
  </si>
  <si>
    <t>TP155.2.E58 .G744 2021</t>
  </si>
  <si>
    <t>Green chemistry. ; Environmental engineering.</t>
  </si>
  <si>
    <t>Waste and Byproducts in Cement-Based Materials : Innovative Sustainable Materials for a Circular Economy</t>
  </si>
  <si>
    <t>Brito, Jorge de;Thomas, Carlos;Medina, Cesar;Agrela, Francisco;Medina, Cesar;Agrela, Francisco</t>
  </si>
  <si>
    <t>HC79.E5 .W378 2021</t>
  </si>
  <si>
    <t>Sustainable Mega City Communities</t>
  </si>
  <si>
    <t>Clark, Woodrow, III;Clark, Woodrow  W., III</t>
  </si>
  <si>
    <t>HT241 .S878 2021</t>
  </si>
  <si>
    <t>Sustainable urban development.</t>
  </si>
  <si>
    <t>The Economics of Sustainable Food : Smart Policies for Health and the Planet</t>
  </si>
  <si>
    <t>Batini, Nicoletta</t>
  </si>
  <si>
    <t>HD9000</t>
  </si>
  <si>
    <t>338.1/9</t>
  </si>
  <si>
    <t>Food supply--Environmental aspects. ; Food supply--Economic aspects. ; Sustainable agriculture.</t>
  </si>
  <si>
    <t>Photovoltaic Modules : Reliability and Sustainability</t>
  </si>
  <si>
    <t>De Gruyter STEM Ser.</t>
  </si>
  <si>
    <t>Weiß, Karl-Anders;Jäckel, Bengt;Herceg, Sina;Kaaya, Ismail;Klimm, Elisabeth;Oreski, Gernot;Pinto Bautista, Sebastián</t>
  </si>
  <si>
    <t>TK1087 .P468 2021</t>
  </si>
  <si>
    <t>Photovoltaic power generation. ; Photovoltaic cells-Design and construction.</t>
  </si>
  <si>
    <t>Turbulent Streams : An Environmental History of Japan's Rivers, 1600-1930</t>
  </si>
  <si>
    <t>Brill's Japanese Studies Library</t>
  </si>
  <si>
    <t>Wilson, Roderick I.</t>
  </si>
  <si>
    <t>TC505 .W557 2021</t>
  </si>
  <si>
    <t>River engineering-Government policy-Japan. ; Riparian areas-History-Japan. ; River engineering-History-Japan.</t>
  </si>
  <si>
    <t>Sustainable Energy Democracy and the Law</t>
  </si>
  <si>
    <t>Fleming, Ruven;Huhta, Kaisa;Reins, Leonie</t>
  </si>
  <si>
    <t>K3981 .S878 2021</t>
  </si>
  <si>
    <t>Power resources-Law and legislation.</t>
  </si>
  <si>
    <t>Sustainable Urbanism and Direct Action : Case Studies in Dialectical Activism</t>
  </si>
  <si>
    <t>Radical Subjects in International Politics Ser.</t>
  </si>
  <si>
    <t>Shepard, Benjamin Heim</t>
  </si>
  <si>
    <t>HT255 .S54 2021</t>
  </si>
  <si>
    <t>City dwellers--Political participation. ; Cities and towns--Social aspects. ; Sociology, Urban.</t>
  </si>
  <si>
    <t>America's Bountiful Waters : 150 Years of Fisheries Conservation and the U.S. Fish &amp; Wildlife Service</t>
  </si>
  <si>
    <t>Stackpole Books</t>
  </si>
  <si>
    <t>Archive, National Fish and Aquatic Conservation;Springer, Craig</t>
  </si>
  <si>
    <t>SH221</t>
  </si>
  <si>
    <t>Fisheries--United States--History--Pictorial works. ; Fishes--United States--Pictorial works. ; Fishery management--United States--History--Pictorial works.</t>
  </si>
  <si>
    <t>Overtourism : Lessons for a Better Future</t>
  </si>
  <si>
    <t>Honey, Martha;Frenkiel, Kelsey</t>
  </si>
  <si>
    <t>Preparing a Workforce for the New Blue Economy : People, Products and Policies</t>
  </si>
  <si>
    <t>Hotaling, Liesl;Spinrad, Richard W.</t>
  </si>
  <si>
    <t>Science: Geology; Business/Management; Economics; Science</t>
  </si>
  <si>
    <t>GC1015.2 .P747 2021</t>
  </si>
  <si>
    <t>Marine resources development.</t>
  </si>
  <si>
    <t>Mastering the Circular Economy : A Practical Approach to the Circular Business Model Transformation</t>
  </si>
  <si>
    <t>Weenk, Ed;Henzen, Rozanne</t>
  </si>
  <si>
    <t>HD58.8 .W446 2021</t>
  </si>
  <si>
    <t>Organizational change. ; Sustainable development. ; Natural resources-Environmental aspects.</t>
  </si>
  <si>
    <t>Managing and Leading People Through Organizational Change : The Theory and Practice of Sustaining Change Through People</t>
  </si>
  <si>
    <t>Hodges, Julie</t>
  </si>
  <si>
    <t>HD58.8 .H634 2021</t>
  </si>
  <si>
    <t>Organizational change. ; Organizational behavior. ; Personnel management. ; Leadership.</t>
  </si>
  <si>
    <t>Sustainability of Life Cycle Management for Nuclear Cementation-Based Technologies</t>
  </si>
  <si>
    <t>Woodhead Publishing Series in Energy Ser.</t>
  </si>
  <si>
    <t>Abdel Rahman, Rehab O.;Ojovan, Michael I.</t>
  </si>
  <si>
    <t>TK9152 .S878 2021</t>
  </si>
  <si>
    <t>621.48/35</t>
  </si>
  <si>
    <t>Nuclear power plants-Safety measures.</t>
  </si>
  <si>
    <t>Earthquakes and Sustainable Infrastructure : Neodeterministic (NDSHA) Approach Guarantees Prevention Rather Than Cure</t>
  </si>
  <si>
    <t>Panza, Giuliano;Kossobokov, Vladimir G.;Laor, Efraim;De Vivo, B.</t>
  </si>
  <si>
    <t>TA658.44 .E278 2021</t>
  </si>
  <si>
    <t>Earthquake resistant design.</t>
  </si>
  <si>
    <t>Advanced Introduction to Sustainable Competitive Advantage in Sales</t>
  </si>
  <si>
    <t>Elgar Advanced Introductions Ser.</t>
  </si>
  <si>
    <t>Chonko, Lawrence B.</t>
  </si>
  <si>
    <t>HF5438.4 .C466 2021</t>
  </si>
  <si>
    <t>Sales management.</t>
  </si>
  <si>
    <t>Modeling Forest Landscape Dynamics</t>
  </si>
  <si>
    <t>Environmental Science, Engineering and Technology Ser.</t>
  </si>
  <si>
    <t>Setturu, Bharath</t>
  </si>
  <si>
    <t>SD387.L35 .S488 2021</t>
  </si>
  <si>
    <t>Forest landscape design. ; Sustainable development. ; Forest landscape management.</t>
  </si>
  <si>
    <t>Prosopis: Properties, Uses and Diversity</t>
  </si>
  <si>
    <t>Plant Science Research and Practices Ser.</t>
  </si>
  <si>
    <t>Batista, Ronan</t>
  </si>
  <si>
    <t>QK495.M545 .P767 2021</t>
  </si>
  <si>
    <t>Prosopis juliflora. ; Mimosaceae. ; Mesquite.</t>
  </si>
  <si>
    <t>Soil Conservation: Strategies, Management and Challenges</t>
  </si>
  <si>
    <t>Air, Water and Soil Pollution Science and Technology Ser.</t>
  </si>
  <si>
    <t>Vieira, António</t>
  </si>
  <si>
    <t>Linkages and Complementarities Between Ethics, Corporate Social Responsibility and Sustainability</t>
  </si>
  <si>
    <t>Sustainability Accounting, Management and Policy Journal Ser.</t>
  </si>
  <si>
    <t>Tanimoto, Kanji;ADAMS, Carol;Simões, Eduardo</t>
  </si>
  <si>
    <t>HM216 .L565 2021</t>
  </si>
  <si>
    <t>Social ethics.</t>
  </si>
  <si>
    <t>Cultural Heritage and Sustainable Development</t>
  </si>
  <si>
    <t>Quintero, Mario Santana;Kuscich, Monica;Careaga, Adriana</t>
  </si>
  <si>
    <t>CC135 .C858 2021</t>
  </si>
  <si>
    <t>Cultural property.</t>
  </si>
  <si>
    <t>New Challenges for Future Sustainability and Wellbeing</t>
  </si>
  <si>
    <t>Emerald Studies in Finance, Insurance, and Risk Management Ser.</t>
  </si>
  <si>
    <t>Özen, Ercan;Grima, Simon;E. Dalli Gonzi, Rebecca</t>
  </si>
  <si>
    <t>HB71-74</t>
  </si>
  <si>
    <t>Quality of life. ; Sustainable development.</t>
  </si>
  <si>
    <t>Food Losses, Sustainable Postharvest and Food Technologies</t>
  </si>
  <si>
    <t>Galanakis, Charis M.;Galanakis, Charis Michel</t>
  </si>
  <si>
    <t>SB129 .F663 2021</t>
  </si>
  <si>
    <t>Crops-Postharvest technology.</t>
  </si>
  <si>
    <t>Hybrid Energy Systems for Offshore Applications</t>
  </si>
  <si>
    <t>Hybrid Energy Systems Ser.</t>
  </si>
  <si>
    <t>Dincer, Ibrahim;Cozzani, Valerio;Crivellari, Anna</t>
  </si>
  <si>
    <t>TK1041 .D563 2021</t>
  </si>
  <si>
    <t>Hybrid power systems.</t>
  </si>
  <si>
    <t>Renewable Energy Conversion Systems</t>
  </si>
  <si>
    <t>Kamran, Muhammad;Fazal, Muhammad Rayyan</t>
  </si>
  <si>
    <t>TJ808 .K367 2021</t>
  </si>
  <si>
    <t>Wetlands and Western Cultures : Denigration to Conservation</t>
  </si>
  <si>
    <t>Giblett, Rod</t>
  </si>
  <si>
    <t>Social Science; Science: Geology; Science</t>
  </si>
  <si>
    <t>GB622 .G535 2021</t>
  </si>
  <si>
    <t>304.20916/9</t>
  </si>
  <si>
    <t>Wetlands--Philosophy. ; Wetland ecology--Philosophy. ; Wetland conservation.</t>
  </si>
  <si>
    <t>Data, Statistics, and Useful Numbers for Environmental Sustainability : Bringing the Numbers to Life</t>
  </si>
  <si>
    <t>Cushman-Roisin, Benoit;Cremonini, Bruna Tanaka</t>
  </si>
  <si>
    <t>GE45.M37 .C87 2021</t>
  </si>
  <si>
    <t>Environmental sciences-Mathematical models.</t>
  </si>
  <si>
    <t>Sustainable Environmental Clean-Up : Green Remediation</t>
  </si>
  <si>
    <t>Mishra, Virendra Kumar;Kumar, Ajay</t>
  </si>
  <si>
    <t>TD192.5 .S87 2021</t>
  </si>
  <si>
    <t>Bioremediation.</t>
  </si>
  <si>
    <t>International Environmental Cooperation and the Global Sustainability Capital Framework</t>
  </si>
  <si>
    <t>Seelarbokus, Chenaz</t>
  </si>
  <si>
    <t>GE170 .S44 2021</t>
  </si>
  <si>
    <t>Data Science Applied to Sustainability Analysis</t>
  </si>
  <si>
    <t>Dunn, Jennifer;Balaprakash, Prasanna</t>
  </si>
  <si>
    <t>HC79.E5 .D38 2021</t>
  </si>
  <si>
    <t>OECD Regional Outlook 2021</t>
  </si>
  <si>
    <t>OECD Regional Outlook Ser.</t>
  </si>
  <si>
    <t>Assessing the Economic Impacts of Environmental Policies Evidence from a Decade of OECD Research</t>
  </si>
  <si>
    <t>Shoulder to Shoulder : Working Together for a Sustainable Future</t>
  </si>
  <si>
    <t>Hess, Evelyn Searle</t>
  </si>
  <si>
    <t>GE220 .H47 2021</t>
  </si>
  <si>
    <t>363.7/0525</t>
  </si>
  <si>
    <t>Environmental justice. ; Social justice. ; Social movements.</t>
  </si>
  <si>
    <t>Ice-Houses : Energy, Architecture, and Sustainability</t>
  </si>
  <si>
    <t>Dehghani-Sanij, Alireza;Bahadori, Mehdi N.</t>
  </si>
  <si>
    <t>NA2542.3 .D444 2021</t>
  </si>
  <si>
    <t>Architecture and energy conservation.</t>
  </si>
  <si>
    <t>OECD Environmental Performance Reviews: Ireland 2021</t>
  </si>
  <si>
    <t>From Anger to Action : Inside the Global Movements for Social Justice, Peace, and a Sustainable Planet</t>
  </si>
  <si>
    <t>Jackson, Ben;Lamb, Harriet</t>
  </si>
  <si>
    <t>HM671 .L358 2021</t>
  </si>
  <si>
    <t>303.3/72</t>
  </si>
  <si>
    <t>Social justice--Citizen participation. ; Peace--Citizen participation. ; Sustainable development--Citizen participation.</t>
  </si>
  <si>
    <t>Teaching Environmental Impact Assessment</t>
  </si>
  <si>
    <t>Elgar Guides to Teaching Ser.</t>
  </si>
  <si>
    <t>Morrison-Saunders, Angus;Pope, Jenny</t>
  </si>
  <si>
    <t>Engineering; Economics; Environmental Studies; Engineering: Environmental</t>
  </si>
  <si>
    <t>TD194.6 .M677 2021</t>
  </si>
  <si>
    <t>Environmental impact analysis.</t>
  </si>
  <si>
    <t>Complex Systems and Sustainability in the Global Auditing, Consulting, and Credit Rating Agency Industries</t>
  </si>
  <si>
    <t>Nwogugu, Michael I. C.</t>
  </si>
  <si>
    <t>HG3751.5 .N96</t>
  </si>
  <si>
    <t>Credit bureaus.</t>
  </si>
  <si>
    <t>Biodiversity : A Beginner's Guide (revised and Updated Edition)</t>
  </si>
  <si>
    <t>Oneworld Publications</t>
  </si>
  <si>
    <t>Beginner's Guides</t>
  </si>
  <si>
    <t>Spicer, John</t>
  </si>
  <si>
    <t>QH541.15.B56 .S653 2021</t>
  </si>
  <si>
    <t>Biodiversity. ; Extinction (Biology)</t>
  </si>
  <si>
    <t>Economics and Politics of Energy in the Middle East and Eastern Europe</t>
  </si>
  <si>
    <t>Ketenci, Natalya;Sevencan, Ayşe;Altınanahtar, Alper;Levent Uslu, Çağrı;Çakmak Alioğlu, Gizem;Çakmak, Gizem Alioğlu;Güner, Melih;Baykan, Barış Gencer;Vural, Gülfer;Geldi, Hatice Kerra</t>
  </si>
  <si>
    <t>HD9502.M628</t>
  </si>
  <si>
    <t>Energy policy--Middle East. ; Energy policy--Europe, Eastern. ; Renewable energy sources--Middle East.</t>
  </si>
  <si>
    <t>Lake Water: Properties and Uses (Case Studies of Hydrochemistry and Hydrobiology of Lakes in Northwest Russia)</t>
  </si>
  <si>
    <t>Climate Change and Its Causes, Effects and Prediction Ser.</t>
  </si>
  <si>
    <t>Pokrovsky, Oleg S.</t>
  </si>
  <si>
    <t>QH161 .L354 2021</t>
  </si>
  <si>
    <t>Limnology-Russia, Northwestern. ; Lake hydrology-Russia, Northwestern. ; Lake ecology-Russia, Northwestern.</t>
  </si>
  <si>
    <t>Plasma Science : Enabling Technology, Sustainability, Security, and Exploration</t>
  </si>
  <si>
    <t>National Academies of Sciences, Engineering, and Medicine;Division on Engineering and Physical Sciences;Board on Physics and Astronomy;Committee on a Decadal Assessment of Plasma Science</t>
  </si>
  <si>
    <t>Science: Astronomy; Science: Physics</t>
  </si>
  <si>
    <t>Our Environmental Handprints : Recover the Land, Reverse Global Warming, Reclaim the Future</t>
  </si>
  <si>
    <t>Biemer, Jon R.</t>
  </si>
  <si>
    <t>TD171.7 .B53 2021</t>
  </si>
  <si>
    <t>Environmental protection--Citizen participation. ; Sustainable living. ; Environmental responsibility.</t>
  </si>
  <si>
    <t>Recycled Aggregates: Materials and Uses</t>
  </si>
  <si>
    <t>Materials Science and Technologies Ser.</t>
  </si>
  <si>
    <t>Saini, Gaurav</t>
  </si>
  <si>
    <t>Tropical Dry Deciduous Forests: Emerging Features and Ecological Perspectives</t>
  </si>
  <si>
    <t>Environmental Research Advances Ser.</t>
  </si>
  <si>
    <t>Chaturvedi, R. K.</t>
  </si>
  <si>
    <t>Sustainability Marketing : New Directions and Practices</t>
  </si>
  <si>
    <t>Sharma, Rishi Raj;Kaur, Tanveer;Singh Syan, Amanjot</t>
  </si>
  <si>
    <t>Green marketing.</t>
  </si>
  <si>
    <t>The Governance of Regulators Driving Performance at Portugal’s Energy Services Regulatory Authority</t>
  </si>
  <si>
    <t>Upgrading the Global Garment Industry : Internationalization, Capabilities and Sustainability</t>
  </si>
  <si>
    <t>New Perspectives on the Modern Corporation Ser.</t>
  </si>
  <si>
    <t>Rana, Mohammad B.;Allen, Matthew M. C.</t>
  </si>
  <si>
    <t>TT497 .U647 2021</t>
  </si>
  <si>
    <t>Clothing trade.</t>
  </si>
  <si>
    <t>A Research Agenda for Social Finance</t>
  </si>
  <si>
    <t>Elgar Research Agendas Ser.</t>
  </si>
  <si>
    <t>Lehner, Othmar M.</t>
  </si>
  <si>
    <t>HG101 .R474 2021</t>
  </si>
  <si>
    <t>Finance-Social aspects.</t>
  </si>
  <si>
    <t>Faiths in Green : Religion, Environmental Change, and Environmental Concern in the United States</t>
  </si>
  <si>
    <t>Religious Ethics and Environmental Challenges Ser.</t>
  </si>
  <si>
    <t>Szrot, Lukas</t>
  </si>
  <si>
    <t>GE197 .S97 2021</t>
  </si>
  <si>
    <t>Environmentalism--United States--History. ; Environmentalism--United States--Religious aspects.</t>
  </si>
  <si>
    <t>Handbook of Research on Entrepreneurship, Innovation, Sustainability, and ICTs in the Post-COVID-19 Era</t>
  </si>
  <si>
    <t>Carvalho, Luisa Cagica;Reis, Leonilde;Silveira, Clara</t>
  </si>
  <si>
    <t>HB615 .E58368</t>
  </si>
  <si>
    <t>Entrepreneurship-Technological innovations.</t>
  </si>
  <si>
    <t>Nanofluids for Heat and Mass Transfer : Fundamentals, Sustainable Manufacturing and Applications</t>
  </si>
  <si>
    <t>Bhanvase, Bharat Apparao;Barai, Divya;Bhanvase, Bharat Apparao;Barai, Divya</t>
  </si>
  <si>
    <t>Transdisciplinary Case Studies on Design for Food and Sustainability</t>
  </si>
  <si>
    <t>Woodhead Publishing Series in Consumer Science and Strategic Marketing Ser.</t>
  </si>
  <si>
    <t>Massari, Sonia</t>
  </si>
  <si>
    <t>HD9000.5 .T736 2021</t>
  </si>
  <si>
    <t>Food-Marketing.</t>
  </si>
  <si>
    <t>Preserving Whose City? : Memory, Place, and Identity in Rio de Janeiro</t>
  </si>
  <si>
    <t>Godfrey, Brian J.</t>
  </si>
  <si>
    <t>F2646.5.A2 G63 2021</t>
  </si>
  <si>
    <t>981/.53</t>
  </si>
  <si>
    <t>Historic sites--Conservation and restoration--Brazil--Rio de Janeiro. ; Historic preservation--Social aspects--Brazil--Rio de Janeiro. ; Natural monuments--Social aspects--Brazil--Rio de Janeiro.</t>
  </si>
  <si>
    <t>OECD Public Governance Reviews Monitoring and Evaluating the Strategic Plan of Nuevo León 2015-2030 Using Evidence to Achieve Sustainable Development</t>
  </si>
  <si>
    <t>Sustainable Planet: Issues and Solutions for Our Environment's Future [2 Volumes]</t>
  </si>
  <si>
    <t>McNicol, Barbara J.</t>
  </si>
  <si>
    <t>GE149 .S878 2021</t>
  </si>
  <si>
    <t>Global environmental change. ; Sustainable living. ; Environmental sciences.</t>
  </si>
  <si>
    <t>Scotland and Islandness : Explorations in Community, Economy and Culture</t>
  </si>
  <si>
    <t>Peter Lang Ltd. International Academic Publishers</t>
  </si>
  <si>
    <t>Burnett, Kathryn;Burnett, Ray;Danson, Michael</t>
  </si>
  <si>
    <t>DA887 .S37 2021</t>
  </si>
  <si>
    <t>Islands--Scotland--History. ; Islands--Scotland--Economic conditions. ; Sustainable development--Scotland.</t>
  </si>
  <si>
    <t>Smart Cities and the un SDGs</t>
  </si>
  <si>
    <t>Visvizi, Anna;Perez del Hoyo, Raquel</t>
  </si>
  <si>
    <t>An Ecology of Scriptures : Experiences of Dwelling Behind Early Jewish and Christian Texts</t>
  </si>
  <si>
    <t>Pruszinski, Jolyon G. R.</t>
  </si>
  <si>
    <t>BS2361.3 .P787 2021</t>
  </si>
  <si>
    <t>Bible.-New Testament-Criticism, interpretation, etc. ; Dwellings in the Bible. ; Place (Philosophy) in the Bible.</t>
  </si>
  <si>
    <t>Sustainable Engineering for Life Tomorrow</t>
  </si>
  <si>
    <t>Stagner, Jacqueline A.;Ting, David S. -K.;Abdallah, Yomna K.;Al-Kodmany, Kheir;Baker, Julia Ann;Balo, Figen;Carriveau, Rupp;Coelho, Roberto Francisco;Enevoldsen, Peter;Estévez, Alberto T.</t>
  </si>
  <si>
    <t>TA163 .S875 2021</t>
  </si>
  <si>
    <t>Sustainable engineering. ; Sustainable architecture. ; Renewable energy sources.</t>
  </si>
  <si>
    <t>Air Pollution: Effects and Dangers</t>
  </si>
  <si>
    <t>Colman, Jorge Esteban</t>
  </si>
  <si>
    <t>Engineering: Environmental</t>
  </si>
  <si>
    <t>Kintsugi : The Poetic Mend</t>
  </si>
  <si>
    <t>Herbert Press</t>
  </si>
  <si>
    <t>Kemske, Bonnie</t>
  </si>
  <si>
    <t>NK4233 .K467 2021</t>
  </si>
  <si>
    <t>Pottery-Conservation and restoration. ; Pottery, Japanese.</t>
  </si>
  <si>
    <t>Scaling up Nature-based Solutions to Tackle Water-related Climate Risks Insights from Mexico and the United Kingdom</t>
  </si>
  <si>
    <t>Frontiers in International Environmental Law: Oceans and Climate Challenges : Essays in Honour of David Freestone</t>
  </si>
  <si>
    <t>Barnes, Richard;Long, Ronán</t>
  </si>
  <si>
    <t>K3585 .F766 2021</t>
  </si>
  <si>
    <t>Environmental law, International. ; Law of the sea. ; Marine pollution-Law and legislation.</t>
  </si>
  <si>
    <t>Adapting and Mitigating Environmental, Social, and Governance Risk in Business</t>
  </si>
  <si>
    <t>Ziolo, Magdalena</t>
  </si>
  <si>
    <t>HD30.255 .A33</t>
  </si>
  <si>
    <t>Electric Vehicles and the Future of Energy Efficient Transportation</t>
  </si>
  <si>
    <t>Subramaniam, Umashankar;Williamson, Sheldon S.;Krishna S., Mohan;J. L., Febin Daya</t>
  </si>
  <si>
    <t>TL220 .E4475</t>
  </si>
  <si>
    <t>Transportation-Environmental aspects. ; Electric vehicles-Technological innovations. ; Sustainable engineering-Research.</t>
  </si>
  <si>
    <t>Modern Materials and Technologies for Civil and Road Engineering</t>
  </si>
  <si>
    <t>Jaya, Ramadhansyah Putra</t>
  </si>
  <si>
    <t>Flames of Extinction : The Race to Save Australia's Threatened Wildlife</t>
  </si>
  <si>
    <t>Pickrell, John</t>
  </si>
  <si>
    <t>QL84</t>
  </si>
  <si>
    <t>Air Pollution, Climate, and Health : An Integrated Perspective on Their Interactions</t>
  </si>
  <si>
    <t>Gao, Meng;Wang, Zifa;Carmichael, Gregory</t>
  </si>
  <si>
    <t>Science: Astronomy; Environmental Studies; Science</t>
  </si>
  <si>
    <t>QB643.G46  .A377 2021</t>
  </si>
  <si>
    <t>Climatic changes. ; Air polution.</t>
  </si>
  <si>
    <t>Handbook for Sustainable Tourism Practitioners : The Essential Toolbox</t>
  </si>
  <si>
    <t>Research Handbooks in Tourism Ser.</t>
  </si>
  <si>
    <t>G156.5.S87 .H363 2021</t>
  </si>
  <si>
    <t>Sustainable tourism-Handbooks, manuals, etc. ; Sustainable tourism-Research-Methodology.</t>
  </si>
  <si>
    <t>Methods and Applications of Geospatial Technology in Sustainable Urbanism</t>
  </si>
  <si>
    <t>Tenedório, José António;Estanqueiro, Rossana;Henriques, Cristina Delgado</t>
  </si>
  <si>
    <t>HT166 .M4455</t>
  </si>
  <si>
    <t>307.1/2160285</t>
  </si>
  <si>
    <t>City planning-Geographic information systems. ; Sustainable urban development-Geographic information systems. ; Land use-Planning-Geographic information systems.</t>
  </si>
  <si>
    <t>Psychological Roots of the Climate Crisis : Neoliberal Exceptionalism and the Culture of Uncare</t>
  </si>
  <si>
    <t>Psychoanalytic Horizons Ser.</t>
  </si>
  <si>
    <t>Weintrobe, Sally</t>
  </si>
  <si>
    <t>BF353.5.C55 .W456 2021</t>
  </si>
  <si>
    <t>Climatic changes-Psychological aspects. ; Environmental policy-Psychological aspects. ; Neoliberalism.</t>
  </si>
  <si>
    <t>Rewilding Agricultural Landscapes : A California Study in Rebalancing the Needs of People and Nature</t>
  </si>
  <si>
    <t>Butterfield, H. Scott;Kelsey, T. Rodd;Hart, Abigail K.</t>
  </si>
  <si>
    <t>S494.5.S86 R483 2021</t>
  </si>
  <si>
    <t>Sustainable agriculture. ; Restoration ecology.</t>
  </si>
  <si>
    <t>The Ecological Footprint of Tourism : A Case Study of the Greek Hotel Sector</t>
  </si>
  <si>
    <t>Parpairis, Dimitrios A.;Lagos, Dimitrios G.</t>
  </si>
  <si>
    <t>G156.5.E58 .P377 2021</t>
  </si>
  <si>
    <t>Tourism-Environmental aspects-Case studies. ; Hotels-Greece.</t>
  </si>
  <si>
    <t>Our Vanishing Wild Life: Its Extermination and Preservation</t>
  </si>
  <si>
    <t>Nova Snova</t>
  </si>
  <si>
    <t>Historical Manuscripts</t>
  </si>
  <si>
    <t>Scott, Natan</t>
  </si>
  <si>
    <t>Science: Zoology; Economics; Science; Environmental Studies</t>
  </si>
  <si>
    <t>QL82 .H676 2021</t>
  </si>
  <si>
    <t>Wildlife conservation.</t>
  </si>
  <si>
    <t>Sustainable Biofuels : Opportunities and Challenges</t>
  </si>
  <si>
    <t>Applied Biotechnology Reviews Ser.</t>
  </si>
  <si>
    <t>Ray, Ramesh C.</t>
  </si>
  <si>
    <t>Environmental Studies; Economics; Engineering: Chemical; Engineering</t>
  </si>
  <si>
    <t>TP339 .S878 2021</t>
  </si>
  <si>
    <t>Biomass energy. ; Renewable energy sources.</t>
  </si>
  <si>
    <t>Handbook of Environmental Impact Assessment : Concepts and Practice</t>
  </si>
  <si>
    <t>Kumar A. Rathi, Arjun</t>
  </si>
  <si>
    <t>GE145 .R384 2021</t>
  </si>
  <si>
    <t>Environmental risk assessment-Handbooks, manuals, etc. ; Environmental management-Handbooks, manuals, etc.</t>
  </si>
  <si>
    <t>The Natural Language for Artificial Intelligence</t>
  </si>
  <si>
    <t>Motta Monte-Serrat, Dioneia;Cattani, Carlo</t>
  </si>
  <si>
    <t>QA76.9.N38 .M668 2021</t>
  </si>
  <si>
    <t>Natural language processing (Computer science)</t>
  </si>
  <si>
    <t>The Essential Guide to Self-Sufficient Living : Vegetable Gardening, Canning and Fermenting, Keeping Chickens, and More</t>
  </si>
  <si>
    <t>Skyhorse Publishing Company, Incorporated</t>
  </si>
  <si>
    <t>Gehring, Abigail</t>
  </si>
  <si>
    <t>GF78 .G447 2021</t>
  </si>
  <si>
    <t>Self-reliant living. ; Sustainable living. ; Urban agriculture.</t>
  </si>
  <si>
    <t>Financial Management and Risk Analysis Strategies for Business Sustainability</t>
  </si>
  <si>
    <t>Enríquez-Díaz, Joaquín;Castro-Santos, Laura;Puime-Guillén, Félix</t>
  </si>
  <si>
    <t>HD30.255 .F556</t>
  </si>
  <si>
    <t>Management-Environmental aspects.</t>
  </si>
  <si>
    <t>International Journal of Social Ecology and Sustainable Development (IJSESD) Volume 12, Issue 2</t>
  </si>
  <si>
    <t>Engineering: General; Engineering; Social Science</t>
  </si>
  <si>
    <t>HM861 .C373 2021</t>
  </si>
  <si>
    <t>Human-Earth Expressions on Integrative Health and Our Environment : Mapping Caves</t>
  </si>
  <si>
    <t>Noble-Letort, Shelley R.</t>
  </si>
  <si>
    <t>R733 .N635 2021</t>
  </si>
  <si>
    <t>Integrative medicine.</t>
  </si>
  <si>
    <t>International Journal of Sustainable Economies Management (IJSEM) Volume 10, Issue 2</t>
  </si>
  <si>
    <t>Dusmanescu, Dorel;Jean-Vasile, Andrei;Popescu, Gheorghe H.</t>
  </si>
  <si>
    <t>Ecological and Salutogenic Design for a Sustainable Healthy Global Society</t>
  </si>
  <si>
    <t>Yeang, Ken;Dilani, Alan</t>
  </si>
  <si>
    <t>HT166 .E265 2021</t>
  </si>
  <si>
    <t>City planning-Environmental aspects. ; Sustainable development. ; Urban ecology (Sociology)</t>
  </si>
  <si>
    <t>Sustainable Manufacturing</t>
  </si>
  <si>
    <t>Handbooks in Advanced Manufacturing Ser.</t>
  </si>
  <si>
    <t>Gupta, Kapil;Salonitis, Konstantinos</t>
  </si>
  <si>
    <t>TS155.7 .G878 2021</t>
  </si>
  <si>
    <t>Manufacturing processes-Environmental aspects.</t>
  </si>
  <si>
    <t>OECD Environmental Performance Reviews: Belgium 2021</t>
  </si>
  <si>
    <t>GE190.B4</t>
  </si>
  <si>
    <t>Environmental management. ; Environmental policy. ; Environmental protection.</t>
  </si>
  <si>
    <t>Issues and Cases of Degrowth in Tourism</t>
  </si>
  <si>
    <t>Andriotis, Konstantinos</t>
  </si>
  <si>
    <t>G156.5.S87 .I878 2021</t>
  </si>
  <si>
    <t>Green and Sustainable Finance : Principles and Practice</t>
  </si>
  <si>
    <t>Chartered Banker Ser.</t>
  </si>
  <si>
    <t>Thompson, Simon</t>
  </si>
  <si>
    <t>HG101 .T466 2021</t>
  </si>
  <si>
    <t>Sustainable development-Finance. ; Finance-Environmental aspects.</t>
  </si>
  <si>
    <t>Building a More Peaceful Society Through Positive Intergroup Contact: an Ecologically Sustainable Approach to Community Wellness</t>
  </si>
  <si>
    <t>Community Studies</t>
  </si>
  <si>
    <t>Hoffman, August John</t>
  </si>
  <si>
    <t>HM716 .H644 2021</t>
  </si>
  <si>
    <t>Intergroup relations. ; Violence. ; Helping behavior.</t>
  </si>
  <si>
    <t>Sustainable Real Estate in the Developing World</t>
  </si>
  <si>
    <t>Abdulai, Raymond Talinbe;Baffour Awuah, Kwasi Gyau</t>
  </si>
  <si>
    <t>Real estate development-Environmental aspects-Developing countries. ; Sustainable design.</t>
  </si>
  <si>
    <t>Happiness Management and Social Marketing: a Wave of Sustainability and Creativity</t>
  </si>
  <si>
    <t>Peter Lang AG International Academic Publishers</t>
  </si>
  <si>
    <t>Ravina Ripoll, Rafael;Tobar Pesántez, Luis Bayardo;Galiano Coronil, Araceli;Marchena Dominguez, José</t>
  </si>
  <si>
    <t>Sustainable Infrastructure for Low-Carbon Development in the EU Eastern Partnership</t>
  </si>
  <si>
    <t>HC240.9.C3</t>
  </si>
  <si>
    <t>Sustainable development. ; Soviet Union. ; Infrastructure (Economics)</t>
  </si>
  <si>
    <t>Sustainable Technologies for Textile Wastewater Treatments</t>
  </si>
  <si>
    <t>Muthu, Subramanian Senthilkannan</t>
  </si>
  <si>
    <t>Engineering: Environmental; Engineering; Science; Science: Biology/Natural History</t>
  </si>
  <si>
    <t>QH545.S49 .S878 2021</t>
  </si>
  <si>
    <t>Sewage-Environmental aspects. ; Sewage-Purification.</t>
  </si>
  <si>
    <t>Pioneering Family Firms' Sustainable Development Strategies</t>
  </si>
  <si>
    <t>Sharma, Pramodita;Sharma, Sanjay</t>
  </si>
  <si>
    <t>HD60 .P566 2021</t>
  </si>
  <si>
    <t>Social responsibility of business. ; Family-owned business enterprises-Environmental aspects. ; Sustainable development.</t>
  </si>
  <si>
    <t>The Sustainability Debate : Policies, Gender and the Media</t>
  </si>
  <si>
    <t>Topić, Martina;Lodorfos, George</t>
  </si>
  <si>
    <t>HD58.7-58.95</t>
  </si>
  <si>
    <t>Industries-Environmental aspects. ; Social responsibility of business.</t>
  </si>
  <si>
    <t>OECD Studies on Water Water Governance in Peru</t>
  </si>
  <si>
    <t>Agriculture; Business/Management</t>
  </si>
  <si>
    <t>HD1696.P5</t>
  </si>
  <si>
    <t>Sanitation. ; Water quality management. ; Water-supply.</t>
  </si>
  <si>
    <t>How Was Life? Volume II New Perspectives on Well-being and Global Inequality since 1820</t>
  </si>
  <si>
    <t>HN25</t>
  </si>
  <si>
    <t>Quality of life. ; OECD countries. ; Well-being.</t>
  </si>
  <si>
    <t>OECD Studies on Water Water Governance in African Cities</t>
  </si>
  <si>
    <t>HD1699.A1</t>
  </si>
  <si>
    <t>Municipal water supply. ; Sanitation. ; Water quality management.</t>
  </si>
  <si>
    <t>OECD Studies on Water Water Governance in Cape Town, South Africa</t>
  </si>
  <si>
    <t>The Sustainability of Health Care Systems in Europe</t>
  </si>
  <si>
    <t>Contributions to Economic Analysis Ser.</t>
  </si>
  <si>
    <t>Baltagi, Badi H.;Moscone, Francesco</t>
  </si>
  <si>
    <t>HC10-1085</t>
  </si>
  <si>
    <t>Medical economics-Europe. ; Health care reform-Europe. ; Medical policy-Europe. ; Medical care-Europe. ; Sustainable development-Europe.</t>
  </si>
  <si>
    <t>Toolkit for Water Policies and Governance Converging Towards the OECD Council Recommendation on Water</t>
  </si>
  <si>
    <t>HD1691</t>
  </si>
  <si>
    <t>Water quality management.</t>
  </si>
  <si>
    <t>Design for Sustainability : Green Materials and Processes</t>
  </si>
  <si>
    <t>Sapuan, S. M.;Mansor, Muhd Ridzuan</t>
  </si>
  <si>
    <t>Engineering: Civil; Engineering; Business/Management</t>
  </si>
  <si>
    <t>TA174 .D475 2021</t>
  </si>
  <si>
    <t>Sustainable design. ; Manufacturing processes-Environmental aspects. ; Materials-Environmental aspects.</t>
  </si>
  <si>
    <t>Fungi Bio-Prospects in Sustainable Agriculture, Environment and Nano-technology : Volume 3: Fungal Metabolites, Functional Genomics and Nano-Technology</t>
  </si>
  <si>
    <t>Sharma, Vijay Kumar;Shah, Maulin P.;Parmar, Shobhika;Kumar, Ajay;Sharma, Vijay Kumar;P Shah, Maulin;Parmar, Shobhika;Kumar, Ajay</t>
  </si>
  <si>
    <t>TP248.27.F86 .F864 2021</t>
  </si>
  <si>
    <t>Fungi-Biotechnology. ; Fungi-Industrial applications.</t>
  </si>
  <si>
    <t>Sustainable Food Processing and Engineering Challenges</t>
  </si>
  <si>
    <t>Engineering: Chemical; Engineering: Environmental; Engineering</t>
  </si>
  <si>
    <t>TD195.F57 .S878 2021</t>
  </si>
  <si>
    <t>Food industry and trade-Environmental aspects.</t>
  </si>
  <si>
    <t>Green Sustainable Process for Chemical and Environmental Engineering and Science : Solid State Synthetic Methods</t>
  </si>
  <si>
    <t>Inamuddin;Boddula, Rajender;Rahman, Mohammed Muzibur;Asiri, Abdullah Ahmed;Inamuddin;Boddula, Rajender;Rahman, Mohammed Muzibur;Asiri, Abdullah Ahmed</t>
  </si>
  <si>
    <t>Green chemistry. ; Solid state chemistry.</t>
  </si>
  <si>
    <t>Environmental Philosophy, Politics, and Policy</t>
  </si>
  <si>
    <t>Duerk, John A.;Carvalho, Emilia Barreto;Clune, Alan C.;Sanders, Jennifer Epley;Hockaday, Shelby;Koebele, Elizabeth;Lukas, Scott A.;McBrayer, Markie;McBride, Joe;Ormerod, Kerri Jean</t>
  </si>
  <si>
    <t>HC79.E5 .E585 2021</t>
  </si>
  <si>
    <t>Comprehensive Thematic Abbreviation Dictionary on Toxicology and Environmental Science and Health</t>
  </si>
  <si>
    <t>Abbassi, Shahriar</t>
  </si>
  <si>
    <t>Optimization of Biological Nitrogen and Phosphorus Removal in A2/o Wastewater Treatment Processes</t>
  </si>
  <si>
    <t>Wu, Changyong</t>
  </si>
  <si>
    <t>TD758.5.N58 .W8 2021</t>
  </si>
  <si>
    <t>Sewage-Purification-Nitrogen removal. ; Sewage-Purification-Phosphate removal.</t>
  </si>
  <si>
    <t>Protected Areas: Management, Benefits and Social Impacts</t>
  </si>
  <si>
    <t>Scott, James A.</t>
  </si>
  <si>
    <t>S944.5.P78 .P768 2021</t>
  </si>
  <si>
    <t>Environmental protection. ; Protected areas-Management.</t>
  </si>
  <si>
    <t>Strengthening Climate Resilience Guidance for Governments and Development Co-operation</t>
  </si>
  <si>
    <t>Nuclear Weapons and the Environment : An Ecological Case for Non-proliferation</t>
  </si>
  <si>
    <t>Perry, John</t>
  </si>
  <si>
    <t>Environmental Studies; Military Science</t>
  </si>
  <si>
    <t>U264 .P477 2021</t>
  </si>
  <si>
    <t>Nuclear weapons-Environmental aspects. ; Nuclear weapons-Testing-Environmental aspects.</t>
  </si>
  <si>
    <t>An Introduction to the Geography of Tourism</t>
  </si>
  <si>
    <t>Exploring Geography Ser.</t>
  </si>
  <si>
    <t>Nelson, Velvet</t>
  </si>
  <si>
    <t>G156.5.E58 N45 2021</t>
  </si>
  <si>
    <t>Tourism--Environmental aspects. ; Geographical perception.</t>
  </si>
  <si>
    <t>Including Consumption in Emissions Trading : Economic and Legal Considerations</t>
  </si>
  <si>
    <t>Elgar Studies in Climate Law Ser.</t>
  </si>
  <si>
    <t>Haussner, Manuel W.</t>
  </si>
  <si>
    <t>KJE6249 .H387 2021</t>
  </si>
  <si>
    <t>European Union Emissions Trading Scheme. ; Greenhouse gas mitigation-Law and legislation-European Union countries. ; Sustainable development-European Union countries. ; Environmental protection-European Union countries.</t>
  </si>
  <si>
    <t>Portland's Good Life : Sustainability and Hope in an American City</t>
  </si>
  <si>
    <t>Stephenson, R. Bruce</t>
  </si>
  <si>
    <t>HC107.O73 .S747 2021</t>
  </si>
  <si>
    <t>Sustainability-Oregon-Portland-History-21st centiury.</t>
  </si>
  <si>
    <t>The New Normal : Challenges of Managing Business, Social and Ecological Systems in the Post COVID 19 Era</t>
  </si>
  <si>
    <t>Bloomsbury Publishing India Pvt. Ltd.</t>
  </si>
  <si>
    <t>Chaturvedi, H.;Dey, Ajoy Kumar</t>
  </si>
  <si>
    <t>RA644.C67 .N49 2021</t>
  </si>
  <si>
    <t>COVID-19 (Disease)-Economic aspects. ; COVID-19 (Disease)-Social aspects. ; COVID-19 (Disease)</t>
  </si>
  <si>
    <t>Advances in Urban Lifestyle and Technology</t>
  </si>
  <si>
    <t>Suparta, Wayan</t>
  </si>
  <si>
    <t>HT241 .A383 2021</t>
  </si>
  <si>
    <t>Sustainable urban development. ; City planning.</t>
  </si>
  <si>
    <t>Technologies of Sustainable Development</t>
  </si>
  <si>
    <t>Dwi Laksono, Andromeda</t>
  </si>
  <si>
    <t>Biopolymer-Based Metal Nanoparticle Chemistry for Sustainable Applications : Volume 1: Classification, Properties and Synthesis</t>
  </si>
  <si>
    <t>Nasrollahzadeh, Mahmoud</t>
  </si>
  <si>
    <t>QP801.B69 .N377 2021</t>
  </si>
  <si>
    <t>Biopolymers. ; Nanoparticles. ; Metallography.</t>
  </si>
  <si>
    <t>Biopolymer-Based Metal Nanoparticle Chemistry for Sustainable Applications : Volume 2: Applications</t>
  </si>
  <si>
    <t>TP248.65.P62 .N377 2021</t>
  </si>
  <si>
    <t>Biopolymers-Industrial applications. ; Nanoparticles-Industrial applications. ; Biopolymers.</t>
  </si>
  <si>
    <t>Green Chemistry and Technology</t>
  </si>
  <si>
    <t>Benvenuto, Mark Anthony;Ruger, George</t>
  </si>
  <si>
    <t>Sustainable Process Engineering</t>
  </si>
  <si>
    <t>Szekely, Gyorgy</t>
  </si>
  <si>
    <t>TP155 .S945 2021</t>
  </si>
  <si>
    <t>Chemical engineering.</t>
  </si>
  <si>
    <t>The Challenge of Feeding the World Sustainably : Summary of the US-UK Scientific Forum on Sustainable Agriculture</t>
  </si>
  <si>
    <t>The Royal Society;National Academy of Sciences</t>
  </si>
  <si>
    <t>The Cost of Electricity</t>
  </si>
  <si>
    <t>Breeze, Paul</t>
  </si>
  <si>
    <t>HD9685.A2 .B744 2021</t>
  </si>
  <si>
    <t>Electric utilities-Rates.</t>
  </si>
  <si>
    <t>Atolls of the Maldives : Nissology and Geography</t>
  </si>
  <si>
    <t>Rethinking the Island</t>
  </si>
  <si>
    <t>Malatesta, Stefano;Schmidt di Friedberg, Marcella;Zubair, Shahida;Bowen, David</t>
  </si>
  <si>
    <t>BX8074.H85 .M353 2021</t>
  </si>
  <si>
    <t>Tourism-Environmental aspects-Maldives. ; Human ecology-Maldives. ; Maldives-Geography.</t>
  </si>
  <si>
    <t>Water Conservation in the Era of Global Climate Change</t>
  </si>
  <si>
    <t>Thokchom, Binota;Qiu, Pengpeng;Singh, Pardeep;Iyer, Parameswar K.</t>
  </si>
  <si>
    <t>Economics; Environmental Studies; Engineering; Engineering: Environmental</t>
  </si>
  <si>
    <t>TD388 .W384 2021</t>
  </si>
  <si>
    <t>Water conservation.</t>
  </si>
  <si>
    <t>Nontraditional Activation Methods in Green and Sustainable Applications : Microwaves; Ultrasounds; Photo-, Electro- and Mechanochemistry and High Hydrostatic Pressure</t>
  </si>
  <si>
    <t>Torok, Bela;Schafer, Christian;Torok, Bela;Schafer, Christian</t>
  </si>
  <si>
    <t>TP155.2.E58 .N668 2021</t>
  </si>
  <si>
    <t>Driving Innovation and Productivity Through Sustainable Automation</t>
  </si>
  <si>
    <t>Amini, Ardavan;Bushell, Stephen;Mahmood, Arshad</t>
  </si>
  <si>
    <t>TK5105.6 .D75</t>
  </si>
  <si>
    <t>Telematics. ; Automation.</t>
  </si>
  <si>
    <t>Ecocollapse Fiction and Cultures of Human Extinction</t>
  </si>
  <si>
    <t>Environmental Cultures Ser.</t>
  </si>
  <si>
    <t>McFarland, Sarah E.</t>
  </si>
  <si>
    <t>PS374.D96 .M343 2021</t>
  </si>
  <si>
    <t>Dystopias in literature. ; American fiction-History and criticism-21st century. ; Human ecology in literature.</t>
  </si>
  <si>
    <t>Sustainability in Global Value Chains : Measures, Ethics and Best Practices for Responsible Businesses</t>
  </si>
  <si>
    <t>Henke, Michael;Kohl, Holger</t>
  </si>
  <si>
    <t>HD38.5 .B875 2021</t>
  </si>
  <si>
    <t>Sustainable development. ; Business logistics.</t>
  </si>
  <si>
    <t>Sustaining Tomorrow Via Innovative Engineering</t>
  </si>
  <si>
    <t>Ting, David S-k;Carriveau, Rupp</t>
  </si>
  <si>
    <t>Economics; Business/Management; Engineering: Mechanical; Engineering</t>
  </si>
  <si>
    <t>TJ163.3 .S878 2021</t>
  </si>
  <si>
    <t>Sustainable engineering. ; Renewable energy sources. ; Energy conservation.</t>
  </si>
  <si>
    <t>Sustaining a City's Culture and Character : Principles and Best Practices</t>
  </si>
  <si>
    <t>Wolfe, Charles R;Haas, Tigran</t>
  </si>
  <si>
    <t>HT166 .W654 2021</t>
  </si>
  <si>
    <t>City planning. ; Sustainable development. ; Urbanization.</t>
  </si>
  <si>
    <t>Sustainable Materials Science - Environmental Metallurgy : Volume 2 : Pollution and Emissions, Biodiversity, Toxicology and Ecotoxicology, Economics and Social Roles, Foresight</t>
  </si>
  <si>
    <t>Science des Matériaux / Materials Ser.</t>
  </si>
  <si>
    <t>Birat, Jean-Pierre</t>
  </si>
  <si>
    <t>Science: Chemistry; Environmental Studies</t>
  </si>
  <si>
    <t>Handbook of Research on Environmental Education Strategies for Addressing Climate Change and Sustainability</t>
  </si>
  <si>
    <t>Karmaoui, Ahmed;Ben Salem, Abdelkrim;Anees, Mohd Talha</t>
  </si>
  <si>
    <t>Environmental Studies; General Works/Reference</t>
  </si>
  <si>
    <t>GE70 .H365</t>
  </si>
  <si>
    <t>Environmental education-Study and teaching.</t>
  </si>
  <si>
    <t>Salicylic Acid Contribution in Plant Biology Against a Changing Environment</t>
  </si>
  <si>
    <t>Kapoor, Dhriti</t>
  </si>
  <si>
    <t>Science: Botany</t>
  </si>
  <si>
    <t>Sustainable Materials for Transitional and Alternative Energy</t>
  </si>
  <si>
    <t>Advanced Materials and Sensors for the Oil and Gas Industry Ser.</t>
  </si>
  <si>
    <t>Sari, Mufrettin Murat;Temizel, Cenk;Canbaz, Celal Hakan;Saputelli, Luigi A.;Torsaeter, Ole</t>
  </si>
  <si>
    <t>Engineering: Mining; Engineering; Engineering: Chemical</t>
  </si>
  <si>
    <t>TN870 .S878 2021</t>
  </si>
  <si>
    <t>Petroleum engineering-Materials. ; Renewable energy sources. ; Sustainable engineering.</t>
  </si>
  <si>
    <t>Sustainable Materials for Oil and Gas Applications</t>
  </si>
  <si>
    <t>Temizel, Cenk;Sari, Mufrettin Murat;Canbaz, Celal Hakan;Saputelli, Luigi A.;Torsaeter, Ole</t>
  </si>
  <si>
    <t>Engineering: Chemical; Engineering; Engineering: Mining</t>
  </si>
  <si>
    <t>Sustainable engineering. ; Renewable energy sources. ; Petroleum engineering-Materials.</t>
  </si>
  <si>
    <t>Sustainable Consumption, Production and Supply Chain Management : Advancing Sustainable Economic Systems</t>
  </si>
  <si>
    <t>New Horizons in Operations and Supply Chain Management Ser.</t>
  </si>
  <si>
    <t>Nieuwenhuis, Paul;Newman, Daniel;Touboulic, Anne</t>
  </si>
  <si>
    <t>HD38.5 .N548 2021</t>
  </si>
  <si>
    <t>Business logistics-Environmental aspects. ; Production management-Environmental aspects.</t>
  </si>
  <si>
    <t>Fifty Years at the US Environmental Protection Agency : Progress, Retrenchment, and Opportunities</t>
  </si>
  <si>
    <t>Barnes, A. James;Graham, John D.;Konisky, David M.</t>
  </si>
  <si>
    <t>Political Science; Engineering; Engineering: Environmental</t>
  </si>
  <si>
    <t>TD171 .F548 2021</t>
  </si>
  <si>
    <t>Environmental protection-United States-History.</t>
  </si>
  <si>
    <t>Food in a Changing Climate</t>
  </si>
  <si>
    <t>Mann, Alana</t>
  </si>
  <si>
    <t>HM831-901</t>
  </si>
  <si>
    <t>Food security-Climatic factors. ; Food supply-Political aspects. ; Food industry and trade-Environmental aspects.</t>
  </si>
  <si>
    <t>SDG14 - Life below Water : Towards Sustainable Management of Our Oceans</t>
  </si>
  <si>
    <t>Pandey, Umesh Chandra;Nayak, Ranjan;Roka, Krishna;Kumar Jain, Trilok</t>
  </si>
  <si>
    <t>Business/Management; Religion</t>
  </si>
  <si>
    <t>Marine resources conservation.</t>
  </si>
  <si>
    <t>The Diffusion of Public and Private Sustainability Regulations : The Responses of Follower Countries</t>
  </si>
  <si>
    <t>Michida, Etsuyo;Humphrey, John;Vogel, David</t>
  </si>
  <si>
    <t>HC79.E5 .D544 2021</t>
  </si>
  <si>
    <t>Sustainable development-Law and legislation. ; Sustainable development-Government policy.</t>
  </si>
  <si>
    <t>Transcultural Ecocriticism : Global, Romantic and Decolonial Perspectives</t>
  </si>
  <si>
    <t>Cooke, Stuart;Denney, Peter</t>
  </si>
  <si>
    <t>PN98.E36 .T736 2021</t>
  </si>
  <si>
    <t>Ecocriticism.</t>
  </si>
  <si>
    <t>Toward a Critical Theory of Nature : Capital, Ecology, and Dialectics</t>
  </si>
  <si>
    <t>Critical Theory and the Critique of Society Ser.</t>
  </si>
  <si>
    <t>Cassegård, Carl</t>
  </si>
  <si>
    <t>GE195 .C377 2021</t>
  </si>
  <si>
    <t>Environmentalism-Philosophy.</t>
  </si>
  <si>
    <t>Nuclear Power and Human Rights in Japan : The Fallout of Fukushima</t>
  </si>
  <si>
    <t>Akyüz, Emrah</t>
  </si>
  <si>
    <t>GE220 .A398 2021</t>
  </si>
  <si>
    <t>Ecology, Artificial Intelligence, and Virtual Reality : Life in the Digital Dark Ages</t>
  </si>
  <si>
    <t>Chew, Sing C.</t>
  </si>
  <si>
    <t>TD170 .C496 2021</t>
  </si>
  <si>
    <t>304.20285/63</t>
  </si>
  <si>
    <t>Environmental protection--Data processing. ; Sustainable development--Data processing. ; Global environmental change.</t>
  </si>
  <si>
    <t>Tomorrow's Super Teacher : Changing Teacher Preparation to Nurture Culturally Sustaining Educators</t>
  </si>
  <si>
    <t>Richardson, Chateé Omísadé,</t>
  </si>
  <si>
    <t>LA11 .R534 2021</t>
  </si>
  <si>
    <t>Education-Aims and objectives-United States. ; Teachers-Training of-United States. ; Education-History-United States.</t>
  </si>
  <si>
    <t>Sustainable Natural Resource Management in the Himalayan Region: Livelihood and Climate Change</t>
  </si>
  <si>
    <t>Bajracharya, Roshan Man</t>
  </si>
  <si>
    <t>HC430.6.Z65 .B357 2020</t>
  </si>
  <si>
    <t>Natural resources-Himalaya Mountains Region-Management. ; Sustainable development-Himalaya Mountains Region. ; Sustainable agriculture-Himalaya Mountains Region. ; Climate change mitigation-Himalaya Mountains Region.</t>
  </si>
  <si>
    <t>Non-Market Valuation of Agriculture, Pasture and Forest Lands Affected by Public or Private Investments: Scientific Monograph</t>
  </si>
  <si>
    <t>Çakalli, Majlinda</t>
  </si>
  <si>
    <t>Hybrid Nuclear Energy Systems : A Sustainable Solution for the 21st Century</t>
  </si>
  <si>
    <t>Keller, Michael F.</t>
  </si>
  <si>
    <t>Engineering; Engineering: Electrical; Economics; Environmental Studies</t>
  </si>
  <si>
    <t>TK1041 .K455 2021</t>
  </si>
  <si>
    <t>Sustainable Soil Fertility Management</t>
  </si>
  <si>
    <t>Jatav, Hanuman Singh</t>
  </si>
  <si>
    <t>Energy Conversion Systems: an Overview</t>
  </si>
  <si>
    <t>Energy Science, Engineering and Technology Ser.</t>
  </si>
  <si>
    <t>Tripathi, Saurabh Mani</t>
  </si>
  <si>
    <t>TK1191 .E547 2021</t>
  </si>
  <si>
    <t>Electric power-plants.</t>
  </si>
  <si>
    <t>Sustainable Entrepreneurship : Innovation and Transformation</t>
  </si>
  <si>
    <t>Dey, Ajoy Kumar</t>
  </si>
  <si>
    <t>HC79.E5 .S878 2021</t>
  </si>
  <si>
    <t>The Reflexive Diversity Research Programme : An Introduction</t>
  </si>
  <si>
    <t>Bührmann, Andrea D.</t>
  </si>
  <si>
    <t>HM131 .B847 2021</t>
  </si>
  <si>
    <t>Cultural pluralism-Research. ; Multiculturalism-Research.</t>
  </si>
  <si>
    <t>Environmental Postcolonialism : A Literary Response</t>
  </si>
  <si>
    <t>Ecocritical Theory and Practice Ser.</t>
  </si>
  <si>
    <t>Kochar, Shubhanku;Khan, Anjum;Woltmann, Suzy;Nayar, Anupama;Okpadah, Stephen Ogheneruro;Barman, Kalpana Bora;Riaz, Humaira;Sarkar, Anik;Thakur, Chinmaya Lal;Sarkar, Neepa</t>
  </si>
  <si>
    <t>GE140 .E585 2021</t>
  </si>
  <si>
    <t>Environmental degradation-Political aspects.</t>
  </si>
  <si>
    <t>Sustainable Transport and Tourism Destinations</t>
  </si>
  <si>
    <t>Zamparini, Luca</t>
  </si>
  <si>
    <t>HE1-9990</t>
  </si>
  <si>
    <t>Transportation-Environmental aspects.</t>
  </si>
  <si>
    <t>The Russian Urban Sustainability Puzzle : How Can Russian Cities Be Green?</t>
  </si>
  <si>
    <t>Ermolaeva, Polina;Ermolaeva, Yulia;Basheva, Olga;Kuznetsova, Irina;Korunova, Valerya</t>
  </si>
  <si>
    <t>HM701</t>
  </si>
  <si>
    <t>Urban ecology (Sociology)</t>
  </si>
  <si>
    <t>Future Of The Global Order, The: The Six Paradigm Changes That Will Define 2050</t>
  </si>
  <si>
    <t>HD75.6 .P485 2021</t>
  </si>
  <si>
    <t>Environmental Sustainability : Water and Waste Management Policy in the European Union and the Czech Republic</t>
  </si>
  <si>
    <t>Tanil, Gamze;Moldan, Bedřich</t>
  </si>
  <si>
    <t>KJE6242 .T365 2021</t>
  </si>
  <si>
    <t>Environmental law-European Union countries.</t>
  </si>
  <si>
    <t>Climate Change And Energy Options For A Sustainable Future</t>
  </si>
  <si>
    <t>Srivastava, Dinesh Kumar;Ramamurthy, V S</t>
  </si>
  <si>
    <t>QC981.8.C5 .S658 2021</t>
  </si>
  <si>
    <t>Climatic changes.</t>
  </si>
  <si>
    <t>Mindful School Libraries: Creating and Sustaining Nurturing Spaces and Programs</t>
  </si>
  <si>
    <t>Stephens, Wendy</t>
  </si>
  <si>
    <t>Z675.S3 .S747 2021</t>
  </si>
  <si>
    <t>School libraries-Administration.</t>
  </si>
  <si>
    <t>Public Goods, Sustainable Development and the Contribution of Business</t>
  </si>
  <si>
    <t>Bardy, Roland;Rubens, Arthur;Saner, Raymond</t>
  </si>
  <si>
    <t>HC79.E5 .P835 2021</t>
  </si>
  <si>
    <t>Sustainable development-Social aspects. ; Social responsibility of business.</t>
  </si>
  <si>
    <t>Biological Collections : Ensuring Critical Research and Education for the 21st Century</t>
  </si>
  <si>
    <t>National Academies of Sciences, Engineering, and Medicine;Division on Earth and Life Studies;Board on Life Sciences;Committee on Biological Collections: Their Past, Present, and Future Contributions and Options for Sustaining Them</t>
  </si>
  <si>
    <t>Handbook of Advanced Approaches Towards Pollution Prevention and Control : Volume 2: Legislative Measures and Sustainability for Pollution Prevention and Control</t>
  </si>
  <si>
    <t>Rahman, Rehab O. Abdel;Hussain, Chaudhery Mustansar</t>
  </si>
  <si>
    <t>TD174 .H363 2021</t>
  </si>
  <si>
    <t>Pollution prevention. ; Environmental law.</t>
  </si>
  <si>
    <t>Management and Conservation of Mediterranean Environments</t>
  </si>
  <si>
    <t>Castanho, Rui Alexandre;Martín Gallardo, José</t>
  </si>
  <si>
    <t>HC79.E5 M3514</t>
  </si>
  <si>
    <t>333.709182/2</t>
  </si>
  <si>
    <t>Sustainable development-Mediterranean Region.</t>
  </si>
  <si>
    <t>Agricultural Waste Diversity and Sustainability Issues : Sub-Saharan Africa As a Case Study</t>
  </si>
  <si>
    <t>Onu, Peter;Mbohwa, Charles</t>
  </si>
  <si>
    <t>TD930 .O58 2021</t>
  </si>
  <si>
    <t>Agricultural wastes-Africa, Sub-Saharan-Case studies. ; Agricultural wastes-Environmental aspects-Africa, Sub-Saharan-Case studies. ; Agricultural wastes.</t>
  </si>
  <si>
    <t>The Law and Policy of New Eurasian Regionalization : Economic Integration, Trade, and Investment in the Post-Soviet and Greater Eurasian Space</t>
  </si>
  <si>
    <t>Nijhoff International Trade Law Ser.</t>
  </si>
  <si>
    <t>Aseeva, Anna;Górski, Jędrzej</t>
  </si>
  <si>
    <t>KLA474 .L39 2021</t>
  </si>
  <si>
    <t>341.24/7</t>
  </si>
  <si>
    <t>Investments, Foreign-Law and legislation-Eurasia. ; Law-Eurasia-International unification. ; Sustainable development-Law and legislation-Eurasia. ; Foreign trade regulation-Eurasia. ; Eurasia-Economic integration. ; Eurasia-Politics and government.</t>
  </si>
  <si>
    <t>Middle East and North Africa : Climate, Culture, and Conflicts</t>
  </si>
  <si>
    <t>Climate and Culture Ser.</t>
  </si>
  <si>
    <t>Ehlers, Eckart;Amirpur, Katajun</t>
  </si>
  <si>
    <t>GE160.M628 .M533 2021</t>
  </si>
  <si>
    <t>Climatic changes-Social aspects-Africa, North. ; Climatic changes-Social aspects-Middle East. ; Environmental management-Africa, North.</t>
  </si>
  <si>
    <t>The (Almost) Zero-Waste Guide : 100+ Tips for Reducing Your Waste Without Changing Your Life</t>
  </si>
  <si>
    <t>Mannarino, Melanie</t>
  </si>
  <si>
    <t>GF196 .M366 2020</t>
  </si>
  <si>
    <t>Sustainable living.</t>
  </si>
  <si>
    <t>How to Prepare for Climate Change : A Practical Guide to Surviving the Chaos</t>
  </si>
  <si>
    <t>Pogue, David</t>
  </si>
  <si>
    <t>Science: Physics; Environmental Studies; Science</t>
  </si>
  <si>
    <t>QC903 .P648 2020</t>
  </si>
  <si>
    <t>363.738/747</t>
  </si>
  <si>
    <t>Climatic changes. ; Emergency management. ; Environmental disasters. ; Preparedness.</t>
  </si>
  <si>
    <t>Distributed Renewable Energies for off-Grid Communities : Empowering a Sustainable, Competitive, and Secure Twenty-First Century</t>
  </si>
  <si>
    <t>El Bassam, N.;Schlichting, Marcia;Pagani, Daniele;El Bassam, N.;Schlichting, Marcia;Pagani, Daniele</t>
  </si>
  <si>
    <t>Engineering; Environmental Studies; Engineering: Electrical; Economics</t>
  </si>
  <si>
    <t>TK1006 .E433 2021</t>
  </si>
  <si>
    <t>Distributed generation of electric power. ; Small power production facilities. ; Renewable energy sources.</t>
  </si>
  <si>
    <t>The Extinction Curve : Growth and Globalisation in the Climate Endgame</t>
  </si>
  <si>
    <t>Velden, John van der;White, Rob</t>
  </si>
  <si>
    <t>GE195-199</t>
  </si>
  <si>
    <t>Capitalism-Environmental aspects. ; Environmental economics. ; Social evolution.</t>
  </si>
  <si>
    <t>SDG2 - Zero Hunger : Food Security, Improved Nutrition and Sustainable Agriculture</t>
  </si>
  <si>
    <t>Cheo, Ambe Emmanuel;Tapiwa, Kugedera Andrew</t>
  </si>
  <si>
    <t>GF1-900</t>
  </si>
  <si>
    <t>Food security. ; Food supply. ; Sustainable agriculture.</t>
  </si>
  <si>
    <t>Sustainable Marketing : How to Drive Profits with Purpose</t>
  </si>
  <si>
    <t>Bloomsbury Business</t>
  </si>
  <si>
    <t>Carvill, Michelle;Butler, Gemma;Evans, Geraint</t>
  </si>
  <si>
    <t>HF5413 .C378 2021</t>
  </si>
  <si>
    <t>Green marketing. ; Sustainability.</t>
  </si>
  <si>
    <t>An Anthropological Study of Marine Fishermen in Kerala : Anxieties, Compromises and Survivals</t>
  </si>
  <si>
    <t>Ramachandran, B. Bindu</t>
  </si>
  <si>
    <t>Fine Arts; Science; Science: Biology/Natural History</t>
  </si>
  <si>
    <t>QH491 .R363 2021</t>
  </si>
  <si>
    <t>Development studies. ; Sociology &amp; anthropology. ; Social impact of environmental issues.</t>
  </si>
  <si>
    <t>Gray to Green Communities : A Call to Action on the Housing and Climate Crises</t>
  </si>
  <si>
    <t>Bourland, Dana</t>
  </si>
  <si>
    <t>Life Cycle Assessment for Sustainable Mining</t>
  </si>
  <si>
    <t>Farjana, Shahjadi Hisan;Mahmud, M. A. Parvez;Huda, Nazmul</t>
  </si>
  <si>
    <t>TD195.M5 .F375 2021</t>
  </si>
  <si>
    <t>Mineral industries-Environmental aspects. ; Life cycle costing-Environmental aspects.</t>
  </si>
  <si>
    <t>Asean-china Cooperation For Environmental Protection And Sustainable Energy Development</t>
  </si>
  <si>
    <t>Yang, Yue</t>
  </si>
  <si>
    <t>HD9502.A7852 .Y84 2021</t>
  </si>
  <si>
    <t>Environmental protection-China. ; Environmental protection-Southeast Asia. ; Energy development-Environmental aspects-China. ; Energy development-Environmental aspects-Southeast Asia. ; Energy policy-Environmental aspects-China. ; Energy policy-Environmental aspects-Southeast Asia. ; Southeast Asia-Foreign economic relations-China. ; China-Foreign economic relations-Southeast Asia.</t>
  </si>
  <si>
    <t>Research Anthology on Collaboration, Digital Services, and Resource Management for the Sustainability of Libraries</t>
  </si>
  <si>
    <t>ZA4080 .R467</t>
  </si>
  <si>
    <t>Revolutionary Power : An Activist's Guide to the Energy Transition</t>
  </si>
  <si>
    <t>Baker, Shalanda</t>
  </si>
  <si>
    <t>Designing Fashion's Future : Present Practice and Tactics for Sustainable Change</t>
  </si>
  <si>
    <t>Payne, Alice</t>
  </si>
  <si>
    <t>TT507 .P396 2021</t>
  </si>
  <si>
    <t>Fashion.</t>
  </si>
  <si>
    <t>Microbes for a Sustainable Environment and Human Welfare: Advancements and Opportunities</t>
  </si>
  <si>
    <t>Microbiology Research Advances Ser.</t>
  </si>
  <si>
    <t>Alexander, Ronaldo Anuf</t>
  </si>
  <si>
    <t>A Pocket Guide to Sustainable Food Shopping : How to Navigate the Grocery Store, Read Labels, and Help Save the Planet</t>
  </si>
  <si>
    <t>Bratskeir, Kate</t>
  </si>
  <si>
    <t>TX356 .B738 2021</t>
  </si>
  <si>
    <t>Grocery shopping.</t>
  </si>
  <si>
    <t>Sustainable Manufacturing and Design</t>
  </si>
  <si>
    <t>Woodhead Publishing Reviews: Mechanical Engineering Ser.</t>
  </si>
  <si>
    <t>Kumar, Kaushik;Zindani, Divya;Davim, Paulo J.;Kumar, Kaushik;Zindani, Divya;Davim, Paulo J.</t>
  </si>
  <si>
    <t>Engineering; Business/Management; Engineering: Environmental</t>
  </si>
  <si>
    <t>TS155.7</t>
  </si>
  <si>
    <t>Sustainable engineering. ; Sustainable design. ; Manufacturing processes-Environmental aspects.</t>
  </si>
  <si>
    <t>Low Carbon Energy Technologies in Sustainable Energy Systems</t>
  </si>
  <si>
    <t>Kyriakopoulos, Grigorios L.</t>
  </si>
  <si>
    <t>TJ808 .k975 2021</t>
  </si>
  <si>
    <t>Energy development.</t>
  </si>
  <si>
    <t>Oceanic Methane Hydrates : Fundamentals, Technological Innovations, and Sustainability</t>
  </si>
  <si>
    <t>Chen, Lin;Merey, Sukru</t>
  </si>
  <si>
    <t>TN884 .C446 2021</t>
  </si>
  <si>
    <t>Methane industry. ; Natural gas-Hydrates. ; Hydrates.</t>
  </si>
  <si>
    <t>Advanced Introduction to Community-Based Conservation</t>
  </si>
  <si>
    <t>Berkes, Fikret</t>
  </si>
  <si>
    <t>Environmental Studies; Science: Biology/Natural History; Science; Economics</t>
  </si>
  <si>
    <t>QH75 .B475 2021</t>
  </si>
  <si>
    <t>333.95/16</t>
  </si>
  <si>
    <t>Biodiversity conservation.</t>
  </si>
  <si>
    <t>Economically Sustainable Development : Practical Models for Long-Term NGO Viability</t>
  </si>
  <si>
    <t>Raif Shwayri, Raif</t>
  </si>
  <si>
    <t>HB1-3840</t>
  </si>
  <si>
    <t>Artificial Intelligence and IoT-Based Technologies for Sustainable Farming and Smart Agriculture</t>
  </si>
  <si>
    <t>Tomar, Pradeep;Kaur, Gurjit</t>
  </si>
  <si>
    <t>S494.5.D3 A76</t>
  </si>
  <si>
    <t>Artificial intelligence-Agricultural applications. ; Internet of things. ; Sustainable agriculture.</t>
  </si>
  <si>
    <t>Modern Ecopoetry : Reading the Palimpsest of the More-Than-Human World</t>
  </si>
  <si>
    <t>Martínez Serrano, Leonor María;Gámez Fernández, Cristina María</t>
  </si>
  <si>
    <t>PN48 .M634 2021</t>
  </si>
  <si>
    <t>Nature in literature.</t>
  </si>
  <si>
    <t>Image Processing in Renewable: Energy Resources Opportunities and Challenges</t>
  </si>
  <si>
    <t>Singh, Rajesh;Mishra, Sachin;Gehlot, Anita</t>
  </si>
  <si>
    <t>Image processing. ; Renewable energy sources.</t>
  </si>
  <si>
    <t>Strengthening Sustainability Programs and Curricula at the Undergraduate and Graduate Levels</t>
  </si>
  <si>
    <t>National Academies of Sciences, Engineering, and Medicine;Policy and Global Affairs;Board on Higher Education and Workforce;Science and Technology for Sustainability Program;Committee on Strengthening Sustainability Programs and Curricula at the Undergraduate and Graduate Levels</t>
  </si>
  <si>
    <t>International Journal of Social Ecology and Sustainable Development (IJSESD) Volume 12, Issue 1</t>
  </si>
  <si>
    <t>Social ecology-Periodicals. ; Human ecology-Philosophy-Periodicals. ; Sustainable development-Periodicals.</t>
  </si>
  <si>
    <t>International Journal of Environmental Sustainability and Green Technologies (IJESGT) Volume 12, Issue 1</t>
  </si>
  <si>
    <t>TD1-1066 .A358 2021</t>
  </si>
  <si>
    <t>Green technology.</t>
  </si>
  <si>
    <t>International Journal of Sustainable Entrepreneurship and Corporate Social Responsibility (IJSECSR) Volume 6, Issue 1</t>
  </si>
  <si>
    <t>Sustainability-Periodicals.</t>
  </si>
  <si>
    <t>International Journal of Sustainable Economies Management (IJSEM) Volume 10, Issue 1</t>
  </si>
  <si>
    <t>HC79.E5 .D876 2021</t>
  </si>
  <si>
    <t>Advances in Energy Research. Volume 34</t>
  </si>
  <si>
    <t>Advances in Energy Research Ser.</t>
  </si>
  <si>
    <t>Acosta, Morena J.</t>
  </si>
  <si>
    <t>The Living World : Nan Shepherd and Environmental Thought</t>
  </si>
  <si>
    <t>Walton, Samantha</t>
  </si>
  <si>
    <t>PR6069.H4535 .W358 2020</t>
  </si>
  <si>
    <t>828/.912</t>
  </si>
  <si>
    <t>Shepherd, Nan-Criticism and interpretation.</t>
  </si>
  <si>
    <t>Environmental Courts and Tribunals : Powers, Integrity and the Search for Legitimacy</t>
  </si>
  <si>
    <t>Warnock, Ceri</t>
  </si>
  <si>
    <t>K3585 .W376 2020</t>
  </si>
  <si>
    <t>Environmental law.</t>
  </si>
  <si>
    <t>Tourism in Development: Reflective Essays</t>
  </si>
  <si>
    <t>Dieke, Peter;King, Brian E. M.;Sharpley, Richard;Airey, David;Baum, Thomas;Butler, Richard;Chambers, Donna;Chen, Dora Dongzhi;Cohen, Erik;Dwyer, Larry</t>
  </si>
  <si>
    <t>G155.A1 .T687 2021</t>
  </si>
  <si>
    <t>Sustainable Tourism Development in Tanzania</t>
  </si>
  <si>
    <t>Anderson, Wineaster;Mossberg, Lena;Andersson, Tommy D.</t>
  </si>
  <si>
    <t>G156.5.S87 .S878 2021</t>
  </si>
  <si>
    <t>Sustainable tourism-Tanzania.</t>
  </si>
  <si>
    <t>Key Challenges And Opportunities For Quality, Sustainability And Innovation In The Fourth Industrial Revolution: Quality And Service Management In The Fourth Industrial Revolution - Sustainability And Value Co-creation</t>
  </si>
  <si>
    <t>Dahlgaard-park, Su Mi;Dahlgaard, Jens Jorn</t>
  </si>
  <si>
    <t>HF5415.335 .K49 2021</t>
  </si>
  <si>
    <t>Sustainable development. ; Quality control. ; Consumer satisfaction.</t>
  </si>
  <si>
    <t>Nova Excerpts: Environmental Sciences</t>
  </si>
  <si>
    <t>Nova Excerpts Ser.</t>
  </si>
  <si>
    <t>Lucas, Dominik</t>
  </si>
  <si>
    <t>GE105 .N683 2021</t>
  </si>
  <si>
    <t>Environmental sciences-Abstracts.</t>
  </si>
  <si>
    <t>Developing Knowledge Societies for Distinct Country Contexts</t>
  </si>
  <si>
    <t>Lopes, Nuno Vasco;Baguma, Rehema</t>
  </si>
  <si>
    <t>ZA3075 .D478</t>
  </si>
  <si>
    <t>Knowledge management. ; Information literacy.</t>
  </si>
  <si>
    <t>Handbook of Sustainable Transport</t>
  </si>
  <si>
    <t>Research Handbooks in Transport Studies Ser.</t>
  </si>
  <si>
    <t>Curtis, Carey</t>
  </si>
  <si>
    <t>HE305 .H363 2020</t>
  </si>
  <si>
    <t>Urban transportation-Environmental aspects. ; Urban transportation policy.</t>
  </si>
  <si>
    <t>Steady State and Time Dependent Compressed Air Energy Storage Model Validated with Huntorf Operational Data and Investigation of Hydrogen Options for a Sustainable Energy Supply</t>
  </si>
  <si>
    <t>Schriftenreihe des Energie-Forschungszentrums Niedersachsen (EFZN)</t>
  </si>
  <si>
    <t>Kaiser, Friederike</t>
  </si>
  <si>
    <t>TJ165 .K357 2020</t>
  </si>
  <si>
    <t>Energy storage. ; Compressed air.</t>
  </si>
  <si>
    <t>Energy and Sustainable Development</t>
  </si>
  <si>
    <t>Nwanosike Warren, Quinta</t>
  </si>
  <si>
    <t>TJ808.W37 2021</t>
  </si>
  <si>
    <t>333.7/94</t>
  </si>
  <si>
    <t>Renewable energy sources. ; Energy development. ; Power resources.</t>
  </si>
  <si>
    <t>Digitization and Digital Archiving : A Practical Guide for Librarians</t>
  </si>
  <si>
    <t>Practical Guides for Librarians</t>
  </si>
  <si>
    <t>Leggett, Elizabeth R.</t>
  </si>
  <si>
    <t>History; Library Science</t>
  </si>
  <si>
    <t>CD973.D53 .L444 2021</t>
  </si>
  <si>
    <t>Archival materials-Digitization.</t>
  </si>
  <si>
    <t>Handbook of the Circular Economy</t>
  </si>
  <si>
    <t>Brandão, Miguel;Lazarevic, David;Finnveden, Göran</t>
  </si>
  <si>
    <t>HC79.E5 .H36 2020</t>
  </si>
  <si>
    <t>Sustainable development. ; Environmental economics. ; Natural resources-Environmental aspects.</t>
  </si>
  <si>
    <t>Urban Ecology : Its Nature and Challenges</t>
  </si>
  <si>
    <t>Barbosa, Pedro;Grade, Aaron M.;Terando, Adam J.;Sorensen, Amanda E.;vanEngelsdorp, Dennis;Youngsteadt, Elsa;Narango, Desiree L.;Langellotto, Gail A.;Liere, Heidi;Martinson, Holly</t>
  </si>
  <si>
    <t>QH541.5.C6 .U733 2020</t>
  </si>
  <si>
    <t>Urban ecology (Biology)</t>
  </si>
  <si>
    <t>Energy Storage Systems: an Introduction</t>
  </si>
  <si>
    <t>Singh, Satyender</t>
  </si>
  <si>
    <t>Marine Environments: Diversity, Threats and Conservation</t>
  </si>
  <si>
    <t>Marine and Freshwater Biology Ser.</t>
  </si>
  <si>
    <t>Charles, Lina</t>
  </si>
  <si>
    <t>Solving the Climate Crisis: Building, Manufacturing, Industrial and Natural Solutions</t>
  </si>
  <si>
    <t>Berger, Damion D.</t>
  </si>
  <si>
    <t>QC903.2.U6 .S658 2021</t>
  </si>
  <si>
    <t>363.738/7470973</t>
  </si>
  <si>
    <t>Climatic changes-United States. ; Clean energy-Technological innovations-United States.</t>
  </si>
  <si>
    <t>Dynamic Sedimentary Environments of Mangrove Coasts</t>
  </si>
  <si>
    <t>Daniel, Friess;Sidik, Frida</t>
  </si>
  <si>
    <t>Science; Science: Geology; Environmental Studies; Economics</t>
  </si>
  <si>
    <t>QE471.2 .D963 2021</t>
  </si>
  <si>
    <t>Coastal sediments. ; Mangrove conservation.</t>
  </si>
  <si>
    <t>Humanitarian Local and Regional Development : Sustainability and Conflict Prevention in the Information Age</t>
  </si>
  <si>
    <t>Dinc, Mustafa</t>
  </si>
  <si>
    <t>HN49.C6 .D563 2020</t>
  </si>
  <si>
    <t>Community development. ; Social conflict-History.</t>
  </si>
  <si>
    <t>Research Handbook on Climate Change, Oceans and Coasts</t>
  </si>
  <si>
    <t>Research Handbooks in Climate Law Ser.</t>
  </si>
  <si>
    <t>McDonald, Jan;McGee, Jeffrey;Barnes, Richard</t>
  </si>
  <si>
    <t>K3585.5 .R47 2020</t>
  </si>
  <si>
    <t>Climatic changes-Law and legislation. ; Marine ecology.</t>
  </si>
  <si>
    <t>Standing up for a Sustainable World : Voices of Change</t>
  </si>
  <si>
    <t>Henry, Claude;Rockström, Johan;Stern, Nicholas</t>
  </si>
  <si>
    <t>HC79.E5 .S73 2020</t>
  </si>
  <si>
    <t>Sustainable development. ; Environmental economics. ; Environmental degradation.</t>
  </si>
  <si>
    <t>Dump Philosophy : A Phenomenology of Devastation</t>
  </si>
  <si>
    <t>Marder, Michael</t>
  </si>
  <si>
    <t>GE140 .M373 2021</t>
  </si>
  <si>
    <t>Environmental degradation.</t>
  </si>
  <si>
    <t>Sustainable Water Engineering</t>
  </si>
  <si>
    <t>Charlesworth, Susanne;Booth, Colin A.;Adeyeye, Kemi</t>
  </si>
  <si>
    <t>Engineering; Engineering: General; Engineering: Environmental</t>
  </si>
  <si>
    <t>TD195.H93 .S878 2021</t>
  </si>
  <si>
    <t>Hydraulic engineering-Environmental aspects. ; Water resources development.</t>
  </si>
  <si>
    <t>Digital Vision and the Ecological Aesthetic (1968 - 2018)</t>
  </si>
  <si>
    <t>FitzGerald, Lisa</t>
  </si>
  <si>
    <t>Philosophy; Engineering: General; Engineering</t>
  </si>
  <si>
    <t>BH301.E58 .F589 2021</t>
  </si>
  <si>
    <t>Environment (Aesthetics) ; Technology and the arts. ; Digital media.</t>
  </si>
  <si>
    <t>Environmental Cultures in Soviet East Europe : Literature, History and Memory</t>
  </si>
  <si>
    <t>Barcz, Anna</t>
  </si>
  <si>
    <t>GE190.E852 .B373 2021</t>
  </si>
  <si>
    <t>Environmental policy-Europe, Eastern-History-20th century. ; Socialism-Environmental aspects-Europe, Eastern-History-20th century. ; Environmental degradation-Europe, Eastern-History-20th century.</t>
  </si>
  <si>
    <t>National Climate Change Acts : The Emergence, Form and Nature of National Framework Climate Legislation</t>
  </si>
  <si>
    <t>Global Energy Law and Policy Ser.</t>
  </si>
  <si>
    <t>Muinzer, Thomas L.</t>
  </si>
  <si>
    <t>K3585.5 .N385 2020</t>
  </si>
  <si>
    <t>Climatic changes-Law and legislation. ; Environmental law, International.</t>
  </si>
  <si>
    <t>Exergy : Energy, Environment and Sustainable Development</t>
  </si>
  <si>
    <t>Dincer, Ibrahim;Rosen, Marc A.</t>
  </si>
  <si>
    <t>Engineering; Science; Engineering: Mechanical; Science: Physics</t>
  </si>
  <si>
    <t>TJ163.3 .D563 2021</t>
  </si>
  <si>
    <t>531/.6</t>
  </si>
  <si>
    <t>Energy conservation. ; Thermodynamics. ; Exergy.</t>
  </si>
  <si>
    <t>Post-covid Asia: Deglobalization, Fourth Industrial Revolution, And Sustainable Development</t>
  </si>
  <si>
    <t>Lee, Hyun-hoon;Park, Donghyun</t>
  </si>
  <si>
    <t>HC412 .L44 2021</t>
  </si>
  <si>
    <t>COVID-19 (Disease)-Economic aspects-Asia. ; Globalization-Asia.</t>
  </si>
  <si>
    <t>Sustainable Utility Systems : Modelling and Optimisation</t>
  </si>
  <si>
    <t>Varbanov, Petar Sabev;Skorpík, Jiří;Pospísil, Jiří;Klemes, Jiří Jaromír</t>
  </si>
  <si>
    <t>Engineering; Engineering: Chemical; Business/Management</t>
  </si>
  <si>
    <t>TS155.7 .V373 2021</t>
  </si>
  <si>
    <t>660/.2815</t>
  </si>
  <si>
    <t>Chemical process control.</t>
  </si>
  <si>
    <t>Industrial Green Chemistry</t>
  </si>
  <si>
    <t>Kaliaguine, Serge;Dubois, Jean-Luc</t>
  </si>
  <si>
    <t>TP155.2.E58 .I538 2021</t>
  </si>
  <si>
    <t>Sustainable and Shared Value Creation: Innovative Strategies for Organisational Success</t>
  </si>
  <si>
    <t>Business Issues, Competition and Entrepreneurship Ser.</t>
  </si>
  <si>
    <t>Islam, Sardar</t>
  </si>
  <si>
    <t>Handbook of Research on Institution Development for Sustainable and Inclusive Economic Growth in Africa</t>
  </si>
  <si>
    <t>Osabuohien, Evans S.;Oduntan, Emmanuel A.;Gershon, Obindah;Onanuga, Olaronke;Ola-David, Oluyomi</t>
  </si>
  <si>
    <t>HC800.Z9 E5468</t>
  </si>
  <si>
    <t>Youth in development-Africa, Sub-Saharan. ; Women in development-Africa, Sub-Saharan. ; Sustainable development-Africa, Sub-Saharan.</t>
  </si>
  <si>
    <t>Challenges on the Path Toward Sustainability in Europe : Social Responsibility and Circular Economy Perspectives</t>
  </si>
  <si>
    <t>Zabkar, Vesna;Redek, Tjasa</t>
  </si>
  <si>
    <t>Sustainable development-Europe.</t>
  </si>
  <si>
    <t>Sustainable Materials for Next Generation Energy Devices : Challenges and Opportunities</t>
  </si>
  <si>
    <t>Cheong, Kuan Yew;Chen, Lung-Chien</t>
  </si>
  <si>
    <t>TK2980 .C446 2020</t>
  </si>
  <si>
    <t>Sustainable engineering.</t>
  </si>
  <si>
    <t>Applications of Hypothesis Testing for Environmental Science</t>
  </si>
  <si>
    <t>Alkarkhi, Abbas F. Mubarek</t>
  </si>
  <si>
    <t>Science: Geology; Science; Environmental Studies</t>
  </si>
  <si>
    <t>GE105 .A453 2020</t>
  </si>
  <si>
    <t>Achieving the Sustainable Development Goals Punctually : An Impossible Remit?</t>
  </si>
  <si>
    <t>Baber, Graeme</t>
  </si>
  <si>
    <t>HC79.E5 .B334 2021</t>
  </si>
  <si>
    <t>Disaster Risk Governance - Solution or Driver of Vulnerability</t>
  </si>
  <si>
    <t>Disaster Prevention and Management: an International Journal Ser.</t>
  </si>
  <si>
    <t>Gordon, Marc;RAJU, Emmanuel;Luna, Emmanuel</t>
  </si>
  <si>
    <t>HV551.2 .D573 2020</t>
  </si>
  <si>
    <t>Conservation, Sustainability, and Environmental Justice in India</t>
  </si>
  <si>
    <t>Gupta, Alok;Anand, Aadarsh;Arora, Dalima;Bhattacharya, Amit M.;Chahal, Priti;Chauhan, Ritika;Dhall, Amit;Dikshit, Vedant;Gulati, Riya;Gupta, Alok</t>
  </si>
  <si>
    <t>KNS1507 .C667 2021</t>
  </si>
  <si>
    <t>Environmental law-India. ; Sustainability-India.</t>
  </si>
  <si>
    <t>Toxic Chemicals in America: Controversies in Human and Environmental Health [2 Volumes]</t>
  </si>
  <si>
    <t>Tzoumis, Kelly A.</t>
  </si>
  <si>
    <t>RA1219.3 .T968 2021</t>
  </si>
  <si>
    <t>Environmental toxicology-United States. ; Toxicological chemistry-United States.</t>
  </si>
  <si>
    <t>Particulates Matter : Impact, Measurement, and Remediation of Airborne Pollutants</t>
  </si>
  <si>
    <t>Emerging Issues in Analytical Chemistry Ser.</t>
  </si>
  <si>
    <t>Rao, Vikram;Vizuete, William</t>
  </si>
  <si>
    <t>Engineering: Environmental; Environmental Studies; Engineering</t>
  </si>
  <si>
    <t>TD883 .R368 2021</t>
  </si>
  <si>
    <t>Air-Pollution-Measurement. ; Air-Pollution-Prevention.</t>
  </si>
  <si>
    <t>CSR in an Age of Isolationism</t>
  </si>
  <si>
    <t>Sea Turtle Research and Conservation : Lessons from Working in the Field</t>
  </si>
  <si>
    <t>Nahill, Brad</t>
  </si>
  <si>
    <t>QL666.C536 .N345 2021</t>
  </si>
  <si>
    <t>Sea turtles. ; Sea turtles-Conservation. ; Wildlife conservation.</t>
  </si>
  <si>
    <t>Current Developments in Biotechnology and Bioengineering : Sustainable Food Waste Management: Resource Recovery and Treatment</t>
  </si>
  <si>
    <t>Wong, Jonathan;Kaur, Guneet;Taherzadeh, Mohammad;Pandey, Ashok;Lasaridi, Katia</t>
  </si>
  <si>
    <t>TP248.2 .C877 2021</t>
  </si>
  <si>
    <t>Biotechnology. ; Bioengineering. ; Food waste.</t>
  </si>
  <si>
    <t>Tree Kangaroos : Science and Conservation</t>
  </si>
  <si>
    <t>Biodiversity of the World: Conservation from Genes to Landscapes Ser.</t>
  </si>
  <si>
    <t>Dabek, Lisa;Valentine, Peter;Blessington, Jacqueline Jo;Schwartz, Karin R.</t>
  </si>
  <si>
    <t>Science; Environmental Studies; Science: Zoology; Economics</t>
  </si>
  <si>
    <t>QL82 .T744 2021</t>
  </si>
  <si>
    <t>Wildlife conservation. ; Tree kangaroos-Ecology.</t>
  </si>
  <si>
    <t>How to Think about the Climate Crisis : A Philosophical Guide to Saner Ways of Living</t>
  </si>
  <si>
    <t>Parkes, Graham</t>
  </si>
  <si>
    <t>Science; Science: Physics; Environmental Studies</t>
  </si>
  <si>
    <t>QC903 .P375 2021</t>
  </si>
  <si>
    <t>Climatic changes-Philosophy. ; Philosophy, Comparative.</t>
  </si>
  <si>
    <t>Decarbonisation and the Energy Industry : Law, Policy and Regulation in Low-Carbon Energy Markets</t>
  </si>
  <si>
    <t>Oyewunmi, Tade;Crossley, Penelope;Sourgens, édéric Gilles;Talus, Kim</t>
  </si>
  <si>
    <t>K3981 .D433 2020</t>
  </si>
  <si>
    <t>Energy industries-Law and legislation.</t>
  </si>
  <si>
    <t>Implementing the Circular Economy for Sustainable Development</t>
  </si>
  <si>
    <t>Wiesmeth, Hans</t>
  </si>
  <si>
    <t>HC79.E5 .W547 2021</t>
  </si>
  <si>
    <t>Negative Interest Rates : The Black Hole of Financial Capitalism</t>
  </si>
  <si>
    <t>Ninet, Jacques</t>
  </si>
  <si>
    <t>Interest rates.</t>
  </si>
  <si>
    <t>Heavy Metals in the Environment : Impact, Assessment, and Remediation</t>
  </si>
  <si>
    <t>Kumar, Vinod;Sharma, Anket;Cerda, Artemi</t>
  </si>
  <si>
    <t>TD196.M4 .H438 2021</t>
  </si>
  <si>
    <t>Heavy metals-Environmental aspects.</t>
  </si>
  <si>
    <t>Sustainable Composites for Lightweight Applications</t>
  </si>
  <si>
    <t>Dhakal, Hom;Ismail, Sikiru Oluwarotimi;Dhakal, Hom;Ismail, Sikiru Oluwarotimi</t>
  </si>
  <si>
    <t>TA418.9.C6 .D435 2021</t>
  </si>
  <si>
    <t>Composite materials.</t>
  </si>
  <si>
    <t>Design and Optimization of Innovative Food Processing Techniques Assisted by Ultrasound : Developing Healthier and Sustainable Food Products</t>
  </si>
  <si>
    <t>Barba, Francisco J.;Cravotto, Giancarlo;Chemat, Farid;Rodriguez, Jose Manuel Lorenzo;Sichetti Munekata, Paulo Eduardo;Barba, Francisco J.;Cravotto, Giancarlo;Chemat, Farid;Manuel Lorenzo, José;Sichetti Munekata, Paulo Eduardo</t>
  </si>
  <si>
    <t>TP370 .B373 2020</t>
  </si>
  <si>
    <t>Food industry and trade-Technological innovations.</t>
  </si>
  <si>
    <t>A Circular Economy Handbook : How to Build a More Resilient, Competitive and Sustainable Business</t>
  </si>
  <si>
    <t>Weetman, Catherine</t>
  </si>
  <si>
    <t>HD9975.A2 .W448 2021</t>
  </si>
  <si>
    <t>Recycling industry. ; Business logistics. ; Managerial economics.</t>
  </si>
  <si>
    <t>Green Sustainable Process for Chemical and Environmental Engineering and Science : Plant-Derived Green Solvents: Properties and Applications</t>
  </si>
  <si>
    <t>Inamuddin;Boddula, Rajender;Asiri, Abdullah M.;Inamuddin;Boddula, Rajender;Asiri, Abdullah M.</t>
  </si>
  <si>
    <t>TA170 .G744 2021</t>
  </si>
  <si>
    <t>Environmental engineering. ; Green chemistry.</t>
  </si>
  <si>
    <t>Green Sustainable Process for Chemical and Environmental Engineering and Science : Green Inorganic Synthesis</t>
  </si>
  <si>
    <t>Inamuddin;Boddula, Rajender;Ahamed, Mohd;Asiri, Abdullah M.;Inamuddin;Boddula, Rajender;Ahamed, Mohd Imran;Asiri, Abdullah M.</t>
  </si>
  <si>
    <t>Engineering: Civil; Science: Chemistry; Science; Engineering</t>
  </si>
  <si>
    <t>Environmental engineering. ; Pharmaceutical chemistry. ; Green chemistry.</t>
  </si>
  <si>
    <t>Green Sustainable Process for Chemical and Environmental Engineering and Science : Green Solvents for Biocatalysis</t>
  </si>
  <si>
    <t>TP248.65.E59 .G744 2021</t>
  </si>
  <si>
    <t>Enzymes-Biotechnology. ; Biocatalysis. ; Green chemistry.</t>
  </si>
  <si>
    <t>The Children's Country : Creation of a Goolarabooloo Future in North-West Australia</t>
  </si>
  <si>
    <t>Indigenous Nations and Collaborative Futures</t>
  </si>
  <si>
    <t>Muecke, Stephen;Roe, Paddy</t>
  </si>
  <si>
    <t>GN667.W5 .M843 2021</t>
  </si>
  <si>
    <t>Aboriginal Australians-Australia-Western Australia. ; Aboriginal Australians-Services for-Australia-Western Australia. ; Ethnology-Australia-Western Australia.</t>
  </si>
  <si>
    <t>Living Deep Ecology : A Bioregional Journey</t>
  </si>
  <si>
    <t>Devall, Bill;Chew, Sing C.</t>
  </si>
  <si>
    <t>QH105.C2 .D483 2021</t>
  </si>
  <si>
    <t>Biogeography-California, Northern.</t>
  </si>
  <si>
    <t>Reparative Environmental Justice in a World of Wounds</t>
  </si>
  <si>
    <t>Almassi, Ben</t>
  </si>
  <si>
    <t>GE220 .A463 2021</t>
  </si>
  <si>
    <t>Environmental justice. ; Restoration ecology. ; Epistemics.</t>
  </si>
  <si>
    <t>Supply Chain Sustainability : Modeling and Innovative Research Frameworks</t>
  </si>
  <si>
    <t>De Gruyter Series on the Applications of Mathematics in Engineering and Information Sciences Ser.</t>
  </si>
  <si>
    <t>Mangla, Sachin Kumar;Ram, Mangey</t>
  </si>
  <si>
    <t>HD38.5 .S877 2021</t>
  </si>
  <si>
    <t>Digital Solutions and the Case for Africa's Sustainable Development</t>
  </si>
  <si>
    <t>Maake, Albert Ong'uti;Maake, Benard Magara;Awuor, Fredrick Mzee</t>
  </si>
  <si>
    <t>HC800 .D5374</t>
  </si>
  <si>
    <t>338.96/07</t>
  </si>
  <si>
    <t>Green Sustainable Process for Chemical and Environmental Engineering and Science : Analytical Techniques for Environmental and Industrial Analysis</t>
  </si>
  <si>
    <t>Environmental Impact of Agro-Food Industry and Food Consumption</t>
  </si>
  <si>
    <t>Galanakis, Charis</t>
  </si>
  <si>
    <t>Engineering: Environmental; Economics; Business/Management; Engineering</t>
  </si>
  <si>
    <t>TD195.F57 .E585 2021</t>
  </si>
  <si>
    <t>Green Sustainable Process for Chemical and Environmental Engineering and Science : Green Solvents for Environmental Remediation</t>
  </si>
  <si>
    <t>Engineering: Civil; Engineering: Environmental; Engineering</t>
  </si>
  <si>
    <t>Environmental engineering. ; Green chemistry. ; Bioremediation.</t>
  </si>
  <si>
    <t>Green Sustainable Process for Chemical and Environmental Engineering and Science : Solvents for the Pharmaceutical Industry</t>
  </si>
  <si>
    <t>RS403 .G744 2021</t>
  </si>
  <si>
    <t>Pharmaceutical chemistry. ; Solvents. ; Green chemistry.</t>
  </si>
  <si>
    <t>Towards a Competitive, Sustainable Modern City</t>
  </si>
  <si>
    <t>Kresl, Peter K.</t>
  </si>
  <si>
    <t>HT151 .T693 2020</t>
  </si>
  <si>
    <t>Sociology, Urban. ; Urban economics.</t>
  </si>
  <si>
    <t>Tax Policy and Uncertainty : Modelling Debt Projections and Fiscal Sustainability</t>
  </si>
  <si>
    <t>Ball, Christopher;Creedy, John;Scobie, Grant</t>
  </si>
  <si>
    <t>HJ192 .B355 2020</t>
  </si>
  <si>
    <t>339.5/2</t>
  </si>
  <si>
    <t>Fiscal policy-Econometric models. ; Taxation.</t>
  </si>
  <si>
    <t>Assessment of the Report of NASA's Planetary Protection Independent Review Board</t>
  </si>
  <si>
    <t>National Academies of Sciences, Engineering, and Medicine;Division on Engineering and Physical Sciences;Space Studies Board;Committee to Review the Report of the NASA Planetary Protection Independent Review Board</t>
  </si>
  <si>
    <t>Science: Astronomy</t>
  </si>
  <si>
    <t>Biocontrol Agents and Secondary Metabolites : Applications and Immunization for Plant Growth and Protection</t>
  </si>
  <si>
    <t>Jogaiah, Sudisha</t>
  </si>
  <si>
    <t>Agriculture; Science: Biology/Natural History; Science</t>
  </si>
  <si>
    <t>QP171 .J643 2021</t>
  </si>
  <si>
    <t>Metabolites.</t>
  </si>
  <si>
    <t>Humane and Sustainable Smart Cities : A Personal Roadmap to Transform Your City after the Pandemic</t>
  </si>
  <si>
    <t>Smart Cities Ser.</t>
  </si>
  <si>
    <t>Costa, Eduardo M.</t>
  </si>
  <si>
    <t>Engineering: Environmental; Engineering; Social Science</t>
  </si>
  <si>
    <t>TD159.4 .C678 2021</t>
  </si>
  <si>
    <t>Smart cities.</t>
  </si>
  <si>
    <t>Leadership for Sustainability : Strategies for Tackling Wicked Problems</t>
  </si>
  <si>
    <t>Hull, R. Bruce;Robertson, David P.;Mortimer, Michael</t>
  </si>
  <si>
    <t>New Solutions for House Museums : Ensuring the Long-Term Preservation of America’s Historic Houses</t>
  </si>
  <si>
    <t>Harris, Donna Ann</t>
  </si>
  <si>
    <t>E159 .H377 2021</t>
  </si>
  <si>
    <t>Historic house museums-United States-Management.</t>
  </si>
  <si>
    <t>What Would the Buddha Recycle? : A Mindful Guide to an Eco-Friendly Life</t>
  </si>
  <si>
    <t>Adams Media Corporation</t>
  </si>
  <si>
    <t>Home Economics; Environmental Studies</t>
  </si>
  <si>
    <t>GE196$b.A336 2020</t>
  </si>
  <si>
    <t>Environmentalism-Religious aspects-Buddhism.</t>
  </si>
  <si>
    <t>Education And Awareness Of Sustainability - Proceedings Of The 3rd Eurasian Conference On Educational Innovation 2020 (Ecei 2020)</t>
  </si>
  <si>
    <t>Sustainable Innovation In Education And Technology</t>
  </si>
  <si>
    <t>Tijus, Charles;Meen, Teen-hang;Chang, Chun-yen</t>
  </si>
  <si>
    <t>LB1028.3 .E383 2020</t>
  </si>
  <si>
    <t>Educational technology-Congresses. ; Educational innovations-Congresses.</t>
  </si>
  <si>
    <t>Nietzsche and the Earth : Biography, Ecology, Politics</t>
  </si>
  <si>
    <t>Manschot, Henk</t>
  </si>
  <si>
    <t>GE40 .M367 2021</t>
  </si>
  <si>
    <t>Nietzsche, Friedrich Wilhelm,-1844-1900. ; Environmental sciences-Philosophy.</t>
  </si>
  <si>
    <t>Blood into Water : A Case of Social Justice</t>
  </si>
  <si>
    <t>Social Fictions Ser.</t>
  </si>
  <si>
    <t>Clair, R. P.</t>
  </si>
  <si>
    <t>PS3603.L3454 .C535 2021</t>
  </si>
  <si>
    <t>Environmental justice-Fiction. ; Environmental justice. ; Nicaragua-Fiction.</t>
  </si>
  <si>
    <t>The Last Humanity : The New Ecological Science</t>
  </si>
  <si>
    <t>Laruelle, Francois;Smith, Anthony Paul</t>
  </si>
  <si>
    <t>GF21 .L378 2021</t>
  </si>
  <si>
    <t>Human ecology-Philosophy. ; Human ecology-Methodology. ; Environmental ethics.</t>
  </si>
  <si>
    <t>Intelligent IoT Systems in Personalized Health Care</t>
  </si>
  <si>
    <t>Sangaiah, Arun Kumar;Mukhopadhyay, Subhas Chandra</t>
  </si>
  <si>
    <t>R856 .S264 2021</t>
  </si>
  <si>
    <t>Medical care.</t>
  </si>
  <si>
    <t>Galapagos Giant Tortoises</t>
  </si>
  <si>
    <t>Gibbs, James;Cayot, Linda;Tapia Aguilera, Washington</t>
  </si>
  <si>
    <t>QL666.C584 .G533 2020</t>
  </si>
  <si>
    <t>597.92/46</t>
  </si>
  <si>
    <t>Zoology.</t>
  </si>
  <si>
    <t>Bio-Economy and Agri-production : Concepts and Evidence</t>
  </si>
  <si>
    <t>Bochtis, Dionysis;Achillas, Charisios;Banias, Georgios;Lampridi, Maria</t>
  </si>
  <si>
    <t>HD1415 .B634 2021</t>
  </si>
  <si>
    <t>Agriculture-Economic aspects. ; Sustainable agriculture-Economic aspects.</t>
  </si>
  <si>
    <t>Global Groundwater : Source, Scarcity, Sustainability, Security, and Solutions</t>
  </si>
  <si>
    <t>Mukherjee, Abhijit;Scanlon, Bridget R.;Aureli, Alice;Langan, Simon;Guo, Huaming;McKenzie, Andrew A.</t>
  </si>
  <si>
    <t>GB1003 .G563 2021</t>
  </si>
  <si>
    <t>Groundwater. ; Groundwater-Management.</t>
  </si>
  <si>
    <t>Research Handbook on Transnational Environmental Law</t>
  </si>
  <si>
    <t>Research Handbooks in Environmental Law Ser.</t>
  </si>
  <si>
    <t>Heyvaert, Veerle;Duvic-Paoli, Leslie-Anne</t>
  </si>
  <si>
    <t>K3585 .R474 2020</t>
  </si>
  <si>
    <t>Circular Economy in Developed and Developing Countries : Perspective, Methods and Examples</t>
  </si>
  <si>
    <t>G. Popkova, Elena;Bogoviz, Aleksei V.</t>
  </si>
  <si>
    <t>Environmental economics. ; Economics-Philosophy. ; Sustainable development.</t>
  </si>
  <si>
    <t>Global Environmental Sustainability : Case Studies and Analysis of the United Nations' Journey Toward Sustainable Development</t>
  </si>
  <si>
    <t>Keong, Choy Yee</t>
  </si>
  <si>
    <t>HC79.E5 .K466 2020</t>
  </si>
  <si>
    <t>Sustainable development-International cooperation.</t>
  </si>
  <si>
    <t>Public-Private Partnerships in Global Development : Supporting Sustainable Development Goals</t>
  </si>
  <si>
    <t>Nielander, Timothy E.</t>
  </si>
  <si>
    <t>HC79.E5 .N545 2020</t>
  </si>
  <si>
    <t>The Bird-Friendly City : Creating Safe Urban Habitats</t>
  </si>
  <si>
    <t>Beatley, Timothy</t>
  </si>
  <si>
    <t>Architecture; Science: Zoology</t>
  </si>
  <si>
    <t>Fungi Bio-Prospects in Sustainable Agriculture, Environment and Nano-technology : Volume 2: Extremophilic Fungi and Myco-Mediated Environmental Management</t>
  </si>
  <si>
    <t>Fungi-Biotechnology.</t>
  </si>
  <si>
    <t>Renewable Energy Microgeneration Systems : Customer-Led Energy Transition to Make a Sustainable World</t>
  </si>
  <si>
    <t>Yang, Qiang;Yang, Ting;Li, Wei</t>
  </si>
  <si>
    <t>TJ808 .R464 2021</t>
  </si>
  <si>
    <t>Emerging Human and Techno-Human Business Management Dynamics in a Globalized Environment</t>
  </si>
  <si>
    <t>Koutra, Christina</t>
  </si>
  <si>
    <t>Life-Cycle Cost Models for Green Buildings : With Optimal Green Star Credits</t>
  </si>
  <si>
    <t>Illankoon, I. M. Chethana S.;Tam, Vivian W. Y.;Le, Khoa N.;Illankoon, I. M. Chethana S.;Tam, Vivian;Le, Khoa N.</t>
  </si>
  <si>
    <t>TH880 .I453 2021</t>
  </si>
  <si>
    <t>Sustainable buildings-Design and construction-Costs.</t>
  </si>
  <si>
    <t>Ecological Nostalgias : Memory, Affect and Creativity in Times of Ecological Upheavals</t>
  </si>
  <si>
    <t>Environmental Anthropology and Ethnobiology Ser.</t>
  </si>
  <si>
    <t>Angé, Olivia;Berliner, David</t>
  </si>
  <si>
    <t>GF51 .E25 2021</t>
  </si>
  <si>
    <t>Teaching and Learning Practices That Promote Sustainable Development and Active Citizenship</t>
  </si>
  <si>
    <t>Saúde, Sandra;Raposo, Maria Albertina;Pereira, Nuno;Rodrigues, Ana Isabel</t>
  </si>
  <si>
    <t>JZ1320.4 .T43</t>
  </si>
  <si>
    <t>World citizenship-Study and teaching. ; Sustainable development-Study and teaching. ; International education.</t>
  </si>
  <si>
    <t>The Conservation of Endangered Archives and Management of Manuscripts in Indian Repositories</t>
  </si>
  <si>
    <t>Kundu Saha, Anindita</t>
  </si>
  <si>
    <t>CD950 .S243 2020</t>
  </si>
  <si>
    <t>Archives-Conservation and restoration. ; Archives-Collection management.</t>
  </si>
  <si>
    <t>The Foundations of the Aarhus Convention : Environmental Democracy, Rights and Stewardship</t>
  </si>
  <si>
    <t>Barritt, Emily</t>
  </si>
  <si>
    <t>K3585 .B377 2020</t>
  </si>
  <si>
    <t>Pollution Assessment for Sustainable Practices in Applied Sciences and Engineering</t>
  </si>
  <si>
    <t>Mohamed, Abdel-Mohsen O.;Paleologos, Evan;Howari, Fares</t>
  </si>
  <si>
    <t>TD193 .M643 2021</t>
  </si>
  <si>
    <t>Pollution-Measurement.</t>
  </si>
  <si>
    <t>Tax Justice and Global Inequality : Practical Solutions to Protect Developing Country Revenues</t>
  </si>
  <si>
    <t>International Studies in Poverty Research Ser.</t>
  </si>
  <si>
    <t>Mehta, Krishen;Shubert, Esther;Siu, Erika Dayle</t>
  </si>
  <si>
    <t>HJ2351.7 .T39 2020</t>
  </si>
  <si>
    <t>Taxation-Developing countries. ; Distributive justice. ; Tax evasion.</t>
  </si>
  <si>
    <t>The Handbook of Occupational and Environmental Medicine: Principles, Practice, Populations, and Problem-Solving, 2nd Edition [2 Volumes]</t>
  </si>
  <si>
    <t>Guidotti, Tee L.</t>
  </si>
  <si>
    <t>RC963$b.G853 2020</t>
  </si>
  <si>
    <t>Medicine, Industrial.</t>
  </si>
  <si>
    <t>Survival How? : Education, Crisis, Diachronicity and the Transition to a Sustainable Future</t>
  </si>
  <si>
    <t>Verlag Ferdinand Schöningh</t>
  </si>
  <si>
    <t>Culture and Education Ser.</t>
  </si>
  <si>
    <t>Lautensach, Alexander</t>
  </si>
  <si>
    <t>Eco-Friendly Energy Processes and Technologies for Achieving Sustainable Development</t>
  </si>
  <si>
    <t>Danish, Mir Sayed Shah;Senjyu, Tomonobu Shah</t>
  </si>
  <si>
    <t>HC79.E5 E2166</t>
  </si>
  <si>
    <t>Green Chemistry and Water Remediation: Research and Applications</t>
  </si>
  <si>
    <t>Sharma, Sanjay K.</t>
  </si>
  <si>
    <t>TD433 .G744 2021</t>
  </si>
  <si>
    <t>Water-Purification-Environmental aspects. ; Green chemistry. ; Water-Purification-Biological treatment.</t>
  </si>
  <si>
    <t>Solution Combustion Synthesis Of Nanostructured Solid Catalysts For Sustainable Chemistry</t>
  </si>
  <si>
    <t>Sustainable Chemistry Series</t>
  </si>
  <si>
    <t>Gonzalez-cortes, Sergio</t>
  </si>
  <si>
    <t>TP159.C3 .S658 2021</t>
  </si>
  <si>
    <t>Catalysts-Synthesis.</t>
  </si>
  <si>
    <t>Rethinking Food and Agriculture : New Ways Forward</t>
  </si>
  <si>
    <t>Kassam, Ammir;Kassam, Laila</t>
  </si>
  <si>
    <t>S494.5.S86 .R484 2021</t>
  </si>
  <si>
    <t>Sustainable agriculture.</t>
  </si>
  <si>
    <t>Governance and Sustainability</t>
  </si>
  <si>
    <t>Corporate governance-Social aspects.</t>
  </si>
  <si>
    <t>Religious Tourism and the Environment</t>
  </si>
  <si>
    <t>CABI Religious Tourism and Pilgrimage Ser.</t>
  </si>
  <si>
    <t>Shinde, Kiran A.;Olsen, Daniel H.</t>
  </si>
  <si>
    <t>G156.5.R44 .R455 2020</t>
  </si>
  <si>
    <t>Tourism-Religious aspects. ; Pilgrims and pilgrimages.</t>
  </si>
  <si>
    <t>Bioremediation for Environmental Sustainability : Toxicity, Mechanisms of Contaminants Degradation, Detoxification and Challenges</t>
  </si>
  <si>
    <t>Saxena, Gaurav;Kumar, Vineet;Shah, Maulin P.;Saxena, Gaurav;Kumar, Vineet;P Shah, Maulin</t>
  </si>
  <si>
    <t>TD192.5 .B567 2021</t>
  </si>
  <si>
    <t>HD9000.5 .A383 2020</t>
  </si>
  <si>
    <t>Development and Investigation of Materials Using Modern Techniques II</t>
  </si>
  <si>
    <t>Zaki, Ruhiyuddin Mohd;Ahmad, Zainal Arifin;Ahmad, Khairel Rafezi;Ismail, Khairul Nizar;Idris, Mohd Sobri;Pa, Faizul Che;Wahid, Mohd Fitri Mohamad;Wan Ibrahim, Wan Mohd;Murizam, Darus;Hidayu Jamil, Noorina</t>
  </si>
  <si>
    <t>Science: Physics; Science; Medicine</t>
  </si>
  <si>
    <t>Precision Agriculture Technologies for Food Security and Sustainability</t>
  </si>
  <si>
    <t>Abd El-Kader, Sherine M.;Mohammad El-Basioni, Basma M.</t>
  </si>
  <si>
    <t>S675 .P66</t>
  </si>
  <si>
    <t>Agricultural engineering.</t>
  </si>
  <si>
    <t>Ecopedagogy : Critical Environmental Teaching for Planetary Justice and Global Sustainable Development</t>
  </si>
  <si>
    <t>Bloomsbury Critical Education Ser.</t>
  </si>
  <si>
    <t>Misiaszek, Greg William</t>
  </si>
  <si>
    <t>GE70 .M575 2021</t>
  </si>
  <si>
    <t>Environmental education.</t>
  </si>
  <si>
    <t>Controlled Release Fertilizers for Sustainable Agriculture</t>
  </si>
  <si>
    <t>Lewu, F. B;Volova, Tatiana;Thomas, Sabu;K R, Rakhimol</t>
  </si>
  <si>
    <t>S633 .C668 2021</t>
  </si>
  <si>
    <t>Fertilizers. ; Fertilizers-Environmental aspects. ; Sustainable agriculture.</t>
  </si>
  <si>
    <t>Green metamorphoses: agriculture, food, ecology : Proceedings of the LV Conference of SIDEA Studies</t>
  </si>
  <si>
    <t>Torquati, B.;Marchini, A.</t>
  </si>
  <si>
    <t>Business/Management; Economics; Agriculture</t>
  </si>
  <si>
    <t>S494.5.S86 .G744 2020</t>
  </si>
  <si>
    <t>Sustainable agriculture-Congresses. ; Sustainable agriculture-Italy-Congresses. ; Agriculture-Economic aspects-Congresses.</t>
  </si>
  <si>
    <t>Poisoning the Pacific : The US Military's Secret Dumping of Plutonium, Chemical Weapons, and Agent Orange</t>
  </si>
  <si>
    <t>Mitchell, Jon;Dower, John W.</t>
  </si>
  <si>
    <t>TD195.W29 .M583 2020</t>
  </si>
  <si>
    <t>War-Environmental aspects-Pacific Area.</t>
  </si>
  <si>
    <t>Using the Visual and Performing Arts to Encourage Pro-Environmental Behaviour</t>
  </si>
  <si>
    <t>Curtis, David</t>
  </si>
  <si>
    <t>NX180.S6 .C878 2020</t>
  </si>
  <si>
    <t>Arts and society.</t>
  </si>
  <si>
    <t>A Research Agenda for Global Rural Development</t>
  </si>
  <si>
    <t>Marsden, Terry;Lamine, Claire;Schneider, Sergio</t>
  </si>
  <si>
    <t>HN980 .M377 2020</t>
  </si>
  <si>
    <t>Sustainable development. ; Rural development-Research.</t>
  </si>
  <si>
    <t>And Justice for ELs : A Leaders Guide to Creating and Sustaining Equitable Schools</t>
  </si>
  <si>
    <t>Cooper, Ayanna C.</t>
  </si>
  <si>
    <t>PE1128.A2 .C667 2021</t>
  </si>
  <si>
    <t>English language-Study and teaching-Foreign speakers.</t>
  </si>
  <si>
    <t>Waymarking Italy's Influence on the American Environmental Imagination While on Pilgrimage to Assisi</t>
  </si>
  <si>
    <t>France, Robert Lawrence</t>
  </si>
  <si>
    <t>PN98.E36 .F736 2020</t>
  </si>
  <si>
    <t>Ecocriticism. ; Travel writing.</t>
  </si>
  <si>
    <t>Fungi Bio-Prospects in Sustainable Agriculture, Environment and Nano-technology : Volume 1: Fungal Diversity of Sustainable Agriculture</t>
  </si>
  <si>
    <t>Sharma, Vijay Kumar;Shah, Maulin P.;Parmar, Shobhika;Kumar, Ajay;Sharma, Vijay Kumar;Shah, Maulin P.;Parmar, Shobhika;Kumar, Ajay</t>
  </si>
  <si>
    <t>TP248.27.F86 .S537 2021</t>
  </si>
  <si>
    <t>Sustainable agriculture. ; Fungi-Biotechnology.</t>
  </si>
  <si>
    <t>Honduras: Economic, Political and Social Issues</t>
  </si>
  <si>
    <t>Central America and the Caribbean Ser.</t>
  </si>
  <si>
    <t>Riordan, Eric S.</t>
  </si>
  <si>
    <t>International Journal of Social Ecology and Sustainable Development (IJSESD) Volume 11, Issue 4</t>
  </si>
  <si>
    <t>HM861$b.I584 2020</t>
  </si>
  <si>
    <t>Implications of the California Wildfires for Health, Communities, and Preparedness : Proceedings of a Workshop</t>
  </si>
  <si>
    <t>National Academies of Sciences, Engineering, and Medicine;Health and Medicine Division;Board on Population Health and Public Health Practice;Board on Health Sciences Policy;Roundtable on Environmental Health Services, Research, and Medicine;Roundtable on the Promotion of Health Equity;Roundtable on Population Health Improvement;Forum on Medical and Public Health Preparedness for Disasters and Emergencies;Olson, Steve</t>
  </si>
  <si>
    <t>International Journal of Sustainable Economies Management (IJSEM) Volume 9, Issue 4</t>
  </si>
  <si>
    <t>Language Sustainability in a Changing World</t>
  </si>
  <si>
    <t>Burada, Marinela;Tatu, Oana;Sinu, Raluca</t>
  </si>
  <si>
    <t>P51 .L364 2020</t>
  </si>
  <si>
    <t>Language and languages-Study and teaching.</t>
  </si>
  <si>
    <t>Technology and Innovation for Sustainable Development: Turning Digital Disruptions into Opportunities</t>
  </si>
  <si>
    <t>Applied Mechanics and Materials Ser.</t>
  </si>
  <si>
    <t>Sanpo, Noppakun;Tharajak, Jirasak;Kanthang, Paisan</t>
  </si>
  <si>
    <t>Engineering: General; Engineering: Electrical; Medicine</t>
  </si>
  <si>
    <t>Climate Change Adaptation for Transportation Systems</t>
  </si>
  <si>
    <t>Taylor, Michael A. P.</t>
  </si>
  <si>
    <t>Engineering; Engineering: Civil; Business/Management</t>
  </si>
  <si>
    <t>TA1023 .T395 2021</t>
  </si>
  <si>
    <t>Transportation-Climatic factors.</t>
  </si>
  <si>
    <t>Handbook of Research on the Role of Tourism in Achieving Sustainable Development Goals</t>
  </si>
  <si>
    <t>Brandão, Filipa;Breda, Zélia;Costa, Rui;Costa, Carlos</t>
  </si>
  <si>
    <t>G156.5.S87 R65</t>
  </si>
  <si>
    <t>Tourism-Social aspects.</t>
  </si>
  <si>
    <t>Corporate Governance and Its Implications on Accounting and Finance</t>
  </si>
  <si>
    <t>Alqatan, Ahmad;Hussainey, Khaled;Khlif, Hichem</t>
  </si>
  <si>
    <t>HD2741 .C77481772</t>
  </si>
  <si>
    <t>Corporate governance-Psychological aspects. ; Social responsibility of business.</t>
  </si>
  <si>
    <t>Sustainable Fuel Technologies Handbook</t>
  </si>
  <si>
    <t>Dutta, Suman;Mustansar Hussain, Chaudhery</t>
  </si>
  <si>
    <t>TJ808 .S878 2021</t>
  </si>
  <si>
    <t>The Psychology of Management: the Function of the Mind in Determining, Teaching and Installing Methods of Least Waste</t>
  </si>
  <si>
    <t>Psychology Research Progress Ser.</t>
  </si>
  <si>
    <t>Gilbreth, L. M.</t>
  </si>
  <si>
    <t>Green Sustainable Process for Chemical and Environmental Engineering and Science : Microwaves in Organic Synthesis</t>
  </si>
  <si>
    <t>QD262 2021 .G744 2021</t>
  </si>
  <si>
    <t>Organic compounds-Synthesis. ; Green chemistry.</t>
  </si>
  <si>
    <t>Green Chemistry in Government and Industry</t>
  </si>
  <si>
    <t>Benvenuto, Mark Anthony;Plaumann, Heinz</t>
  </si>
  <si>
    <t>TP155.2.E58 .G744 2020</t>
  </si>
  <si>
    <t>Building STEM Skills Through Environmental Education</t>
  </si>
  <si>
    <t>Schroth, Stephen T.;Daniels, Janese</t>
  </si>
  <si>
    <t>GE70 .H36</t>
  </si>
  <si>
    <t>Environmental education. ; Interdisciplinary approach in education. ; Science-Study and teaching (Elementary)</t>
  </si>
  <si>
    <t>Renewable-Energy-Driven Future : Technologies, Modelling, Applications, Sustainability and Policies</t>
  </si>
  <si>
    <t>Economics; Environmental Studies; Engineering; Engineering: Mechanical</t>
  </si>
  <si>
    <t>Human Resource Management Practices for Promoting Sustainability</t>
  </si>
  <si>
    <t>Atiku, Sulaiman Olusegun;Fapohunda, Tinuke</t>
  </si>
  <si>
    <t>HF5549 .H8746</t>
  </si>
  <si>
    <t>Personnel management. ; Sustainable development.</t>
  </si>
  <si>
    <t>Open Access Implications for Sustainable Social, Political, and Economic Development</t>
  </si>
  <si>
    <t>Jain, Priti;Mnjama, Nathan;Oladokun, O.</t>
  </si>
  <si>
    <t>Z286.O63 O648</t>
  </si>
  <si>
    <t>070.5/7973096</t>
  </si>
  <si>
    <t>Open access publishing-Africa. ; Open access publishing-Economic aspects-Africa. ; Sustainable development-Africa.</t>
  </si>
  <si>
    <t>Deleuze and Ethology : A Philosophy of Entangled Life</t>
  </si>
  <si>
    <t>Cullen, Jason</t>
  </si>
  <si>
    <t>Psychology; Literature</t>
  </si>
  <si>
    <t>PS9554.U494 .C855 2020</t>
  </si>
  <si>
    <t>Psychology.</t>
  </si>
  <si>
    <t>Defuturing : A New Design Philosophy</t>
  </si>
  <si>
    <t>Radical Thinkers in Design Ser.</t>
  </si>
  <si>
    <t>Fry, Tony</t>
  </si>
  <si>
    <t>HC79.E5 .F79 2020</t>
  </si>
  <si>
    <t>Environmental Adjudication</t>
  </si>
  <si>
    <t>Lees, Emma;Pedersen, Ole W.</t>
  </si>
  <si>
    <t>K3585 .L447 2020</t>
  </si>
  <si>
    <t>Drilling Engineering : Towards Achieving Total Sustainability</t>
  </si>
  <si>
    <t>Islam, M. Rafiqul;Hossain, M. Enamul</t>
  </si>
  <si>
    <t>TN871.2 .I853 2021</t>
  </si>
  <si>
    <t>Oil well drilling.</t>
  </si>
  <si>
    <t>Going Forward by Looking Back : Archaeological Perspectives on Socio-Ecological Crisis, Response, and Collapse</t>
  </si>
  <si>
    <t>Catastrophes in Context Ser.</t>
  </si>
  <si>
    <t>Riede, Felix;Sheets, Payson</t>
  </si>
  <si>
    <t>CC77.N36 G65 2020</t>
  </si>
  <si>
    <t>Implementing Sustainable Development Goals in Europe : The Role of Political Entrepreneurship</t>
  </si>
  <si>
    <t>Karlsson, Charlie;Silander, Daniel</t>
  </si>
  <si>
    <t>JF1525.P6 .I475 2020</t>
  </si>
  <si>
    <t>Political entrepreneurship-European Union countries.</t>
  </si>
  <si>
    <t>Africa: Economic, Political and Social Issues</t>
  </si>
  <si>
    <t>and, David Murphy</t>
  </si>
  <si>
    <t>Environmentally Friendly Technologies: Advances in Research and Future Directions</t>
  </si>
  <si>
    <t>Martin, Seth B.</t>
  </si>
  <si>
    <t>Sustainable Entrepreneurship and Entrepreneurial Ecosystems : Frontiers in European Entrepreneurship Research</t>
  </si>
  <si>
    <t>Frontiers in European Entrepreneurship Ser.</t>
  </si>
  <si>
    <t>Laveren, Eddy;Blackburn, Robert;Ben-Hafaïedh, Cyrine</t>
  </si>
  <si>
    <t>HB615 .S878 2020</t>
  </si>
  <si>
    <t>Entrepreneurship-Europe.</t>
  </si>
  <si>
    <t>Quality Management for Competitive Advantage in Global Markets</t>
  </si>
  <si>
    <t>Saiz-Álvarez, José Manuel;Olalla-Caballero, Beatriz</t>
  </si>
  <si>
    <t>HD62.15 .H36</t>
  </si>
  <si>
    <t>Knowledge Management for Corporate Social Responsibility</t>
  </si>
  <si>
    <t>Martín-de Castro, Gregorio;González-Masip, Jaime</t>
  </si>
  <si>
    <t>HD30.2 .K62976</t>
  </si>
  <si>
    <t>Social responsibility of business. ; Knowledge management.</t>
  </si>
  <si>
    <t>Sustainable Agri-Food Systems : Case Studies in Transitions Towards Sustainability from France and Brazil</t>
  </si>
  <si>
    <t>Contemporary Food Studies: Economy, Culture and Politics Ser.</t>
  </si>
  <si>
    <t>Lamine, Claire</t>
  </si>
  <si>
    <t>HD9012.5$b.L365 2021</t>
  </si>
  <si>
    <t>Food industry and trade-France.</t>
  </si>
  <si>
    <t>Dinoflagellates: Classification, Evolution, Physiology and Ecological Significance</t>
  </si>
  <si>
    <t>Rao, Subba</t>
  </si>
  <si>
    <t>Advances in Sustainable Polymer Composites</t>
  </si>
  <si>
    <t>Rahman, Rezaur</t>
  </si>
  <si>
    <t>TA418.9.C6 .R346 2021</t>
  </si>
  <si>
    <t>Polymeric composites.</t>
  </si>
  <si>
    <t>India: Environmental, Political and Social Issues</t>
  </si>
  <si>
    <t>India: Economic, Political and Social Issues Ser.</t>
  </si>
  <si>
    <t>Lessard, Jules</t>
  </si>
  <si>
    <t>Bioremediation for Environmental Sustainability : Approaches to Tackle Pollution for Cleaner and Greener Society</t>
  </si>
  <si>
    <t>Kumar, Vineet;Saxena, Gaurav;Shah, Maulin P.;Kumar, Vineet;Saxena, Gaurav;P.Shah, Maulin P.</t>
  </si>
  <si>
    <t>Handbook of Research on Advancements in Supercritical Fluids Applications for Sustainable Energy Systems</t>
  </si>
  <si>
    <t>Chen, Lin</t>
  </si>
  <si>
    <t>TK1041 .A34</t>
  </si>
  <si>
    <t>Electric power-plants-Materials.</t>
  </si>
  <si>
    <t>Green Sustainable Process for Chemical and Environmental Engineering and Science : Sustainable Organic Synthesis</t>
  </si>
  <si>
    <t>TP247.5 .G744 2020</t>
  </si>
  <si>
    <t>Solvents-Environmental aspects.</t>
  </si>
  <si>
    <t>The Economics of Farm Animal Welfare : Theory, Evidence and Policy</t>
  </si>
  <si>
    <t>Ahmadi, Bouda Vosough;Moran, Dominic;D'Eath, Richard B.;Akaichi, Faical;Angot, Jean-Luc;Avendaño, Santiago;Bennett, Richard;Bock, Bettina;Broom, Donald;Clark, Beth</t>
  </si>
  <si>
    <t>HV4708 .E266 2020</t>
  </si>
  <si>
    <t>Winning the Green New Deal : Why We Must, How We Can</t>
  </si>
  <si>
    <t>Prakash, Varshini;Girgenti, Guido</t>
  </si>
  <si>
    <t>GE197 .W566 2020</t>
  </si>
  <si>
    <t>363.7/060973</t>
  </si>
  <si>
    <t>Environmentalism-Political aspects-United States. ; Green movement-United States.</t>
  </si>
  <si>
    <t>Sport Entrepreneurship : An Economic, Social and Sustainability Perspective</t>
  </si>
  <si>
    <t>Ratten, Vanessa</t>
  </si>
  <si>
    <t>Sports-Economic aspects.</t>
  </si>
  <si>
    <t>New and Future Developments in Microbial Biotechnology and Bioengineering : Phytomicrobiome for Sustainable Agriculture</t>
  </si>
  <si>
    <t>Verma, Jay Prakash;Macdonald, Catriona;Gupta, Vijai Kumar;Podile, Appa Rao</t>
  </si>
  <si>
    <t>TP248.27.M53 .N49 2021</t>
  </si>
  <si>
    <t>Microbial biotechnology. ; Sustainable agriculture. ; Bioengineering.</t>
  </si>
  <si>
    <t>Handbook of Research on Multidisciplinary Approaches to Entrepreneurship, Innovation, and ICTs</t>
  </si>
  <si>
    <t>Carvalho, Luísa Cagica;Reis, Leonilde;Prata, Alcina;Pereira, Raquel</t>
  </si>
  <si>
    <t>HD60 .M853</t>
  </si>
  <si>
    <t>Social entrepreneurship. ; Personnel management-Technological innovations. ; Information technology-Management.</t>
  </si>
  <si>
    <t>Sustainable Development Strategies : Engineering, Culture and Economics</t>
  </si>
  <si>
    <t>Roy, Mousumi</t>
  </si>
  <si>
    <t>HC79.E5 .R69 2021</t>
  </si>
  <si>
    <t>Sustainable development. ; Environmental policy.</t>
  </si>
  <si>
    <t>Security in Nigeria : Contemporary Threats and Responses</t>
  </si>
  <si>
    <t>Varin, Caroline;Onuoha, Freedom</t>
  </si>
  <si>
    <t>UA861.3$b.S438 2020</t>
  </si>
  <si>
    <t>National security-Nigeria-Philosophy.</t>
  </si>
  <si>
    <t>A Church for the World : The Church’s Role in Fostering Democracy and Sustainable Development</t>
  </si>
  <si>
    <t>Fortress Academic</t>
  </si>
  <si>
    <t>Deressa, Samuel Yonas;de Keijzer, Josh;Simpson, Gary M.;Bitrus, Ibrahim B.;Canceran, OP, Delfo;DeCort, Andrew D.;Deressa, Samuel Yonas;de Keijzer, Josh;Teck Peng, Lim;Moe, David Thang</t>
  </si>
  <si>
    <t>BR115.W6$b.C487 2020</t>
  </si>
  <si>
    <t>Church and the world.</t>
  </si>
  <si>
    <t>Present and Future of High Pressure Processing : A Tool for Developing Innovative, Sustainable, Safe and Healthy Foods</t>
  </si>
  <si>
    <t>Barba, Francisco J.;Tonello-Samson, Carole;Puértolas, Eduardo;Lavilla, María</t>
  </si>
  <si>
    <t>TP370 .P747 2020</t>
  </si>
  <si>
    <t>The Future of Energy: Challenges, Perspectives, and Solutions</t>
  </si>
  <si>
    <t>Energy Policies, Politics and Prices Ser.</t>
  </si>
  <si>
    <t>Valone, Thomas</t>
  </si>
  <si>
    <t>TJ808 .F888 2020</t>
  </si>
  <si>
    <t>Malawi: Its History, Culture, Environment, Education, and Healthcare</t>
  </si>
  <si>
    <t>Glickman, Leslie B.</t>
  </si>
  <si>
    <t>Forests for Public Health</t>
  </si>
  <si>
    <t>Gallis, Christos;Shin, Won Sop</t>
  </si>
  <si>
    <t>RA565 .F674 2020</t>
  </si>
  <si>
    <t>Planetary Health : Protecting Nature to Protect Ourselves</t>
  </si>
  <si>
    <t>Myers, Samuel;Frumkin, Howard</t>
  </si>
  <si>
    <t>Perilous Bounty : The Looming Collapse of American Farming and How We Can Prevent It</t>
  </si>
  <si>
    <t>Philpott, Tom</t>
  </si>
  <si>
    <t>S589.755 .P455 2020</t>
  </si>
  <si>
    <t>Agriculture-Environmental aspects-United States.</t>
  </si>
  <si>
    <t>Advances in Energy Research. Volume 33</t>
  </si>
  <si>
    <t>Industrial Wastewater: Pollutants, Treatment and Disposal</t>
  </si>
  <si>
    <t>Simonsen, Magnus B.</t>
  </si>
  <si>
    <t>The Challenge of Sustainability : Corporate Governance in a Complicated World</t>
  </si>
  <si>
    <t>Zinkin, John</t>
  </si>
  <si>
    <t>HD2741 .Z565 2020</t>
  </si>
  <si>
    <t>Corporate governance. ; Political tragedy of the commons.</t>
  </si>
  <si>
    <t>Sustainability of Polymeric Materials</t>
  </si>
  <si>
    <t>Marturano, Valentina;Ambrogi, Veronica;Cerruti, Pierfrancesco</t>
  </si>
  <si>
    <t>QP144.G45 .A437 2020</t>
  </si>
  <si>
    <t>Technology &amp; Engineering-Materials Science-General.</t>
  </si>
  <si>
    <t>Principles of Green Banking : Managing Environmental Risk and Sustainability</t>
  </si>
  <si>
    <t>The Moorad Choudhry Global Banking Ser.</t>
  </si>
  <si>
    <t>Barua, Suborna</t>
  </si>
  <si>
    <t>HC79.E5 B378 2020</t>
  </si>
  <si>
    <t>Sustainable development. ; Banks and banking.</t>
  </si>
  <si>
    <t>The Physical Geography of el Salvador: a Geophysical and Ecological Approach</t>
  </si>
  <si>
    <t>Geography and History of the World Ser.</t>
  </si>
  <si>
    <t>Campbell, Michael</t>
  </si>
  <si>
    <t>GB139.S2 .C367 2020</t>
  </si>
  <si>
    <t>Physical geography-El Salvador.</t>
  </si>
  <si>
    <t>Yosemite : The Embattled Wilderness</t>
  </si>
  <si>
    <t>Lyons Press</t>
  </si>
  <si>
    <t>Runte, Alfred;Jackman, Jarrell C.</t>
  </si>
  <si>
    <t>Science; Science: General; Science: Biology/Natural History</t>
  </si>
  <si>
    <t>QH105.C2$b.R868 2020</t>
  </si>
  <si>
    <t>Natural history-California-Yosemite National Park.</t>
  </si>
  <si>
    <t>Zivilrechtlicher Ausgleich ökologischer Schäden : Eine rechtsvergleichende Untersuchung zum repressiven Schutz kollektiver Rechtspositionen an Naturgütern und zum Ausgleich von Beeinträchtigungen des Naturhaushalts im Zivilrecht</t>
  </si>
  <si>
    <t>Mohr Siebeck</t>
  </si>
  <si>
    <t>Studien zum ausländischen und internationalen Privatrecht</t>
  </si>
  <si>
    <t>Seibt, Christoph H.</t>
  </si>
  <si>
    <t>Advancing Innovation and Sustainable Outcomes in International Graduate Education</t>
  </si>
  <si>
    <t>Gurubatham, Mohan Raj;Williams, Geoffrey Alan</t>
  </si>
  <si>
    <t>LB2371 .A35</t>
  </si>
  <si>
    <t>Universities and colleges-Graduate work. ; Education, Higher-Aims and objectives. ; Education and globalization.</t>
  </si>
  <si>
    <t>Global Implications of the Nitrogen Cycle</t>
  </si>
  <si>
    <t>Sousa, Trelita de</t>
  </si>
  <si>
    <t>QH344$b.S687 2020</t>
  </si>
  <si>
    <t>Nitrogen-Environmental aspects.</t>
  </si>
  <si>
    <t>Impact of Zakat on Sustainable Economic Development</t>
  </si>
  <si>
    <t>Sarea, Adel</t>
  </si>
  <si>
    <t>HC499.Z9 I537</t>
  </si>
  <si>
    <t>338.9/27091767</t>
  </si>
  <si>
    <t>Economic history.</t>
  </si>
  <si>
    <t>Traces of (un-) Sustainability : Towards a Materially Engaged Ecology of Mind</t>
  </si>
  <si>
    <t>Graham, Peter</t>
  </si>
  <si>
    <t>Science: Biology/Natural History; Science: Geology; Environmental Studies</t>
  </si>
  <si>
    <t>Sport and the Environment : Politics and Preferred Futures</t>
  </si>
  <si>
    <t>Research in the Sociology of Sport Ser.</t>
  </si>
  <si>
    <t>Wilson, Brian;Millington, Brad</t>
  </si>
  <si>
    <t>Sports-Environmental aspects. ; Sports-Social aspects.</t>
  </si>
  <si>
    <t>Quercus: Classification, Ecology and Uses</t>
  </si>
  <si>
    <t>Steffensen, Bent J.</t>
  </si>
  <si>
    <t>Agriculture in the Forest-Steppe Region of Khazaria</t>
  </si>
  <si>
    <t>East Central and Eastern Europe in the Middle Ages, 450-1450 Ser.</t>
  </si>
  <si>
    <t>Koloda, Volodymyr;Gorbanenko, Serhiy</t>
  </si>
  <si>
    <t>S469.E852$b.K656 2020</t>
  </si>
  <si>
    <t>Khazars-Agriculture-History-Middle Ages, 600-1500.</t>
  </si>
  <si>
    <t>Sustainable Water Resource Development Using Coastal Reservoirs</t>
  </si>
  <si>
    <t>Sitharam, T. G.;Yang, Shu-Qing;Falconer, Roger;Sivakumar, Muttucumaru;Jones, Brian;Kolathayar, Sreevalsa;Sinpoh, Lim</t>
  </si>
  <si>
    <t>TD195.W3 .S584 2020</t>
  </si>
  <si>
    <t>Water resources development-Environmental aspects.</t>
  </si>
  <si>
    <t>Economic Instruments for a Low-Carbon Future</t>
  </si>
  <si>
    <t>Zachariadis, Theodoros;Milne, Janet E.;Skou Andersen, Mikael</t>
  </si>
  <si>
    <t>Business/Management; Economics; Law</t>
  </si>
  <si>
    <t>K3593.5.C37 .E266 2020</t>
  </si>
  <si>
    <t>Carbon dioxide mitigation-Law and legislation. ; Sustainable development-Law and legislation.</t>
  </si>
  <si>
    <t>Sustainability Reporting, Ethics, and Strategic Management Strategies for Modern Organizations</t>
  </si>
  <si>
    <t>Oncioiu, Ionica;Căpușneanu, Sorinel;Topor, Dan Ioan;Constantin, Dana Maria (Oprea)</t>
  </si>
  <si>
    <t>HD60.3 .C43</t>
  </si>
  <si>
    <t>Microorganisms for Sustainable Environment and Health</t>
  </si>
  <si>
    <t>Chowdhary, Pankaj;Raj, Abhay;Verma, Digvijay;Akhter, Yusuf</t>
  </si>
  <si>
    <t>TD192.5 .M537 2020</t>
  </si>
  <si>
    <t>Bioremediation. ; Microorganisms.</t>
  </si>
  <si>
    <t>Advanced Introduction to Sustainable Tourism</t>
  </si>
  <si>
    <t>Weaver, David</t>
  </si>
  <si>
    <t>G156.5.S87 .W438 2020</t>
  </si>
  <si>
    <t>Sustainable tourism. ; Sustainable tourism-Economic aspects.</t>
  </si>
  <si>
    <t>Green Banking : Realizing Renewable Energy Projects</t>
  </si>
  <si>
    <t>De Gruyter Oldenbourg</t>
  </si>
  <si>
    <t>Böttcher, Jörg</t>
  </si>
  <si>
    <t>HG1601 .G744 2020</t>
  </si>
  <si>
    <t>Applied Soft Computing Techniques for Renewable Energy</t>
  </si>
  <si>
    <t>Renewable Energy: Research, Development and Policies Ser.</t>
  </si>
  <si>
    <t>Thakur, Amit Kumar</t>
  </si>
  <si>
    <t>TJ808 .K863 2020</t>
  </si>
  <si>
    <t>Artificial intelligence-Industrial applications. ; Renewable energy sources-Data processing.</t>
  </si>
  <si>
    <t>Weapons System Sustainment Planning Early in the Development Life Cycle</t>
  </si>
  <si>
    <t>National Academies of Sciences, Engineering, and Medicine;Division on Engineering and Physical Sciences;Air Force Studies Board;Committee on USAF Sustainment Planning Early in the Development Life Cycle</t>
  </si>
  <si>
    <t>Intercultural Urbanism : City Planning from the Ancient World to the Modern Day</t>
  </si>
  <si>
    <t>Saitta, Dean</t>
  </si>
  <si>
    <t>HT151$b.S258 2020</t>
  </si>
  <si>
    <t>Sociology, Urban.</t>
  </si>
  <si>
    <t>Current Developments in Biotechnology and Bioengineering : Sustainable Bioresources for the Emerging Bioeconomy</t>
  </si>
  <si>
    <t>Kataki, Rupam;Pandey, Ashok;Khanal, Samir Kumar;Pant, Deepak</t>
  </si>
  <si>
    <t>TP248.2 .C877 2020</t>
  </si>
  <si>
    <t>Biotechnology. ; Bioengineering.</t>
  </si>
  <si>
    <t>Modernism and Its Environments</t>
  </si>
  <si>
    <t>New Modernisms Ser.</t>
  </si>
  <si>
    <t>Rubenstein, Michael;Neuman, Justin</t>
  </si>
  <si>
    <t>PN56.M54$b.R834 2020</t>
  </si>
  <si>
    <t>A Practical Guide to Sustainable Fashion</t>
  </si>
  <si>
    <t>Basics Fashion Design Ser.</t>
  </si>
  <si>
    <t>Gwilt, Alison</t>
  </si>
  <si>
    <t>TT497 .G855 2020</t>
  </si>
  <si>
    <t>Clothing trade-Environmental aspects. ; Clothing trade-Moral and ethical aspects.</t>
  </si>
  <si>
    <t>Microbes, Environment and Human Welfare</t>
  </si>
  <si>
    <t>Recent Trends in Biotechnology Ser.</t>
  </si>
  <si>
    <t>Saha, Tilak</t>
  </si>
  <si>
    <t>Allium: Ecology, Distribution and Cultivation</t>
  </si>
  <si>
    <t>Wettenhall, Caleb</t>
  </si>
  <si>
    <t>Utilization of Waste-Derived Fuels in the Carbonate Looping Process: Experimental Demonstration and Techno-Economic Assessment</t>
  </si>
  <si>
    <t>Haaf, Martin</t>
  </si>
  <si>
    <t>TD885.5.C3 .H334 2020</t>
  </si>
  <si>
    <t>Carbon dioxide mitigation.</t>
  </si>
  <si>
    <t>Tax Law and the Environment : A Multidisciplinary and Worldwide Perspective</t>
  </si>
  <si>
    <t>Mann, Roberta F.;Roberts, Tracey M.;Andersen, Mikael Skou;Boix, Rodolfo Salassa;Dinan, Terry;Graetz, Michael J.;Jarvie, Deborah L.;Kawakatsu, Takeshi;Lee, Soocheol;Mann, Roberta F.</t>
  </si>
  <si>
    <t>Advancing Urban Sustainability in China and the United States : Proceedings of a Workshop</t>
  </si>
  <si>
    <t>National Academies of Sciences, Engineering, and Medicine;Policy and Global Affairs;Science and Technology for Sustainability Program;Committee on Advancing Urban Sustainability in China and the United States: A Workshop;Kameyama, Emi;Saunders, Jennifer;Carrero-Mart?nez, Franklin</t>
  </si>
  <si>
    <t>Political Science; Agriculture</t>
  </si>
  <si>
    <t>Toward a Directionalist Theory of Space : On Going Nowhere</t>
  </si>
  <si>
    <t>Toposophia: Sustainability, Dwelling, Design</t>
  </si>
  <si>
    <t>Hestevold, H. Scott</t>
  </si>
  <si>
    <t>QC173.59.S65 .H478 2020</t>
  </si>
  <si>
    <t>Space-Philosophy. ; Space and time. ; Relativity.</t>
  </si>
  <si>
    <t>Towards Sustainable Chemical Processes : Applications of Sustainability Assessment and Analysis, Design and Optimization, and Hybridization and Modularization</t>
  </si>
  <si>
    <t>Ren, Jingzheng;Wang, Yufei;He, Chang;He, Chang</t>
  </si>
  <si>
    <t>TP155.7$b.T693 2020</t>
  </si>
  <si>
    <t>Chemical processes.</t>
  </si>
  <si>
    <t>Marine benthic dinoflagellates - unveiling their worldwide biodiversity</t>
  </si>
  <si>
    <t>Schweizerbart Textbooks</t>
  </si>
  <si>
    <t>Schweizerbart</t>
  </si>
  <si>
    <t>Hoppenrath, Mona;Murray, Shauna A.;Chomérat, Nicolas;Horiguchi, Takeo</t>
  </si>
  <si>
    <t>Science: Biology/Natural History; Science; Science: Botany</t>
  </si>
  <si>
    <t>QK569.D56 .H677 2014</t>
  </si>
  <si>
    <t>Dinoflagellates. ; Dinoflagellates-Toxicology. ; Dinoflagellates-Geographical distribution.</t>
  </si>
  <si>
    <t>International Journal of Social Ecology and Sustainable Development (IJSESD) Volume 11, Issue 3</t>
  </si>
  <si>
    <t>HM861 .C373 2020</t>
  </si>
  <si>
    <t>Religion and Environmentalism: Exploring the Issues</t>
  </si>
  <si>
    <t>Religion in Politics and Society Today Ser.</t>
  </si>
  <si>
    <t>Stone, Lora</t>
  </si>
  <si>
    <t>Environmental Studies; Religion</t>
  </si>
  <si>
    <t>GF80$b.S766 2020</t>
  </si>
  <si>
    <t>Human ecology-Religious aspects.</t>
  </si>
  <si>
    <t>Birds of Passage : Hunting and Conservation in Malta</t>
  </si>
  <si>
    <t>Falzon, Mark-Anthony</t>
  </si>
  <si>
    <t>SK223.M35 F35 2020</t>
  </si>
  <si>
    <t>Invasive Species: Ecology, Impacts, and Potential Uses</t>
  </si>
  <si>
    <t>Londe, Vinícius</t>
  </si>
  <si>
    <t>Rural Areas: an Overview</t>
  </si>
  <si>
    <t>Social Issues, Justice and Status Ser.</t>
  </si>
  <si>
    <t>Andersen, Lucas S.</t>
  </si>
  <si>
    <t>International Journal of Environmental Sustainability and Green Technologies (IJESGT) Volume 11, Issue 2</t>
  </si>
  <si>
    <t>TD1$b.I584 2020</t>
  </si>
  <si>
    <t>The Impact of Marine Debris on Oceans, the Environment, Wildlife, and Human Health</t>
  </si>
  <si>
    <t>Krogh, Natasja M.</t>
  </si>
  <si>
    <t>TD427.M35$b.I473 2020</t>
  </si>
  <si>
    <t>Marine debris-Cleanup.</t>
  </si>
  <si>
    <t>International Journal of Sustainable Entrepreneurship and Corporate Social Responsibility (IJSECSR) Volume 5, Issue 2</t>
  </si>
  <si>
    <t>HD60$b.I584 2020</t>
  </si>
  <si>
    <t>Social responsibility of business-Periodicals.</t>
  </si>
  <si>
    <t>International Journal of Sustainable Economies Management (IJSEM) Volume 9, Issue 3</t>
  </si>
  <si>
    <t>HD69.S5 .D876 2020</t>
  </si>
  <si>
    <t>Economies.</t>
  </si>
  <si>
    <t>Handbook of Research on Sustainable Supply Chain Management for the Global Economy</t>
  </si>
  <si>
    <t>HD38.5 .H35575</t>
  </si>
  <si>
    <t>Business logistics-Environmental aspects.</t>
  </si>
  <si>
    <t>Strategies for Promoting Sustainable Hospitality and Tourism Services</t>
  </si>
  <si>
    <t>Korstanje, Maximiliano Emanuel;George, Babu;Nedelea, Alexandru-Mircea</t>
  </si>
  <si>
    <t>G156.5.S87 S78</t>
  </si>
  <si>
    <t>Sustainable tourism-Management. ; Hospitality industry-Environmental aspects.</t>
  </si>
  <si>
    <t>Child Environmental Health Disparities: Looking at the Present and Facing the Future</t>
  </si>
  <si>
    <t>Public Health: Practices, Methods and Policies Ser.</t>
  </si>
  <si>
    <t>Rubin, Leslie</t>
  </si>
  <si>
    <t>Transformation Of The European Union, The: The Impact Of Climate Change In European Policies</t>
  </si>
  <si>
    <t>Ruiz-campillo, Xira</t>
  </si>
  <si>
    <t>HC240.9.E5$b.R859 2020</t>
  </si>
  <si>
    <t>Climatic changes-Political aspects-European Union countries.</t>
  </si>
  <si>
    <t>Sustainable Polymers for Food Packaging : An Introduction</t>
  </si>
  <si>
    <t>Katiyar, Vimal</t>
  </si>
  <si>
    <t>TP374 .K385 2020</t>
  </si>
  <si>
    <t>Food-Packaging.</t>
  </si>
  <si>
    <t>Circular Economy and Re-Commerce in the Fashion Industry</t>
  </si>
  <si>
    <t>Shrivastava, Archana;Jain, Geetika;Paul, Justin</t>
  </si>
  <si>
    <t>HD9940.A2 H363</t>
  </si>
  <si>
    <t>381/.4574692</t>
  </si>
  <si>
    <t>Clothing trade-Economic aspects.</t>
  </si>
  <si>
    <t>Green Sustainable Process for Chemical and Environmental Engineering and Science : Sonochemical Organic Synthesis</t>
  </si>
  <si>
    <t>Engineering; Science; Engineering: Chemical; Science: Chemistry</t>
  </si>
  <si>
    <t>QD801 .G744 2020</t>
  </si>
  <si>
    <t>Sonochemistry.</t>
  </si>
  <si>
    <t>Green Sustainable Process for Chemical and Environmental Engineering and Science : Organic Synthesis in Water and Supercritical Water</t>
  </si>
  <si>
    <t>QD262$b.G744 2020</t>
  </si>
  <si>
    <t>547/.2</t>
  </si>
  <si>
    <t>Organic compounds-Synthesis.</t>
  </si>
  <si>
    <t>Promoting Inclusive Growth in the Fourth Industrial Revolution</t>
  </si>
  <si>
    <t>Buckley, Sheryl Beverley</t>
  </si>
  <si>
    <t>HD5706 .P756</t>
  </si>
  <si>
    <t>Labor supply-Effect of education on.</t>
  </si>
  <si>
    <t>Strategies for Business Sustainability in a Collaborative Economy</t>
  </si>
  <si>
    <t>Leon, Ramona-Diana</t>
  </si>
  <si>
    <t>HD31.2 .S87</t>
  </si>
  <si>
    <t>Industrial management-Environmental aspects. ; Industrial management.</t>
  </si>
  <si>
    <t>Research Handbook on EU Environmental Law</t>
  </si>
  <si>
    <t>Research Handbooks in European Law Ser.</t>
  </si>
  <si>
    <t>Peeters, Marjan;Eliantonio, Mariolina</t>
  </si>
  <si>
    <t>KJC6242$b.R474 2020</t>
  </si>
  <si>
    <t>Toward Sustainable And Economic Smart Mobility: Shaping The Future Of Smart Cities</t>
  </si>
  <si>
    <t>Eiza, Mahmoud Hashem;Cao, Yue;Xu, Lexi</t>
  </si>
  <si>
    <t>TE228.3$b.E393 2020</t>
  </si>
  <si>
    <t>388.3/12</t>
  </si>
  <si>
    <t>Communication and traffic.</t>
  </si>
  <si>
    <t>The Greening of Socialism : Climate Change and Marx in the 21st Century</t>
  </si>
  <si>
    <t>Ghotge, Sanjeev</t>
  </si>
  <si>
    <t>HX550.E25$b.G468 2020</t>
  </si>
  <si>
    <t>Communism and ecology.</t>
  </si>
  <si>
    <t>Emergency Preparedness for Libraries</t>
  </si>
  <si>
    <t>HV553$b.T633 2020</t>
  </si>
  <si>
    <t>Emergency management-Planning.</t>
  </si>
  <si>
    <t>Sustainability</t>
  </si>
  <si>
    <t>Business and Society 360 Ser.</t>
  </si>
  <si>
    <t>Wasieleski, David M.;Weber, James</t>
  </si>
  <si>
    <t>Environmental Agencies in the United States : The Enduring Power of Organizational Design and State Politics</t>
  </si>
  <si>
    <t>Hopper, JoyAnna</t>
  </si>
  <si>
    <t>Environmental Studies; Economics; Engineering: Environmental; Engineering</t>
  </si>
  <si>
    <t>TD171$b.H677 2020</t>
  </si>
  <si>
    <t>Environmental policy-United States-States.</t>
  </si>
  <si>
    <t>Industrial Waste Management</t>
  </si>
  <si>
    <t>Purnomo, Chandra Wahyu</t>
  </si>
  <si>
    <t>Engineering: Manufacturing; Engineering: Environmental</t>
  </si>
  <si>
    <t>Global Issues and Innovative Solutions in Healthcare, Culture, and the Environment</t>
  </si>
  <si>
    <t>Merviö, Mika</t>
  </si>
  <si>
    <t>TD170.3 .G65</t>
  </si>
  <si>
    <t>Digitalization, Economic Development and Social Equality : Turbulent Convergence</t>
  </si>
  <si>
    <t>World Complexity Science Academy Book Ser.</t>
  </si>
  <si>
    <t>Mirabelli, Maria;Dib, Natália Brasil;Mihelčič, Sinan</t>
  </si>
  <si>
    <t>T173.8$b.D545 2020</t>
  </si>
  <si>
    <t>Technological innovations-Social aspects-Congresses.</t>
  </si>
  <si>
    <t>Micropollutants and Challenges : Emerging in the Aquatic Environments and Treatment Processes</t>
  </si>
  <si>
    <t>Chavoshani, Afsane;Hashemi, Majid;Mehdi Amin, Mohammad;Ameta, Suresh C.</t>
  </si>
  <si>
    <t>TD196.C45$b.C438 2020</t>
  </si>
  <si>
    <t>Micropollutants-Environmental aspects.</t>
  </si>
  <si>
    <t>Conservation's Roots : Managing for Sustainability in Preindustrial Europe, 1100-1800</t>
  </si>
  <si>
    <t>Environment in History: International Perspectives Ser.</t>
  </si>
  <si>
    <t>Dowling, Abigail P.;Keyser, Richard</t>
  </si>
  <si>
    <t>GF13.3.E85 C64 2020</t>
  </si>
  <si>
    <t>Urban Sustainability in the Arctic : Measuring Progress in Circumpolar Cities</t>
  </si>
  <si>
    <t>Studies in the Circumpolar North Ser.</t>
  </si>
  <si>
    <t>Orttung, Robert W.</t>
  </si>
  <si>
    <t>HT243.A68 U73 2020</t>
  </si>
  <si>
    <t>Deeper Competency-Based Learning : Making Equitable, Student-Centered, Sustainable Shifts</t>
  </si>
  <si>
    <t>Hess, Karin J.;Colby, Rose L.;Joseph, Daniel A.</t>
  </si>
  <si>
    <t>LC1032 .H477 2021</t>
  </si>
  <si>
    <t>Competency-based education-United States.</t>
  </si>
  <si>
    <t>Microbial Biodiversity</t>
  </si>
  <si>
    <t>Ponmurugan, P.;Kumar, J. Senthil</t>
  </si>
  <si>
    <t>QH308.2$b.M537 2020</t>
  </si>
  <si>
    <t>Biology.</t>
  </si>
  <si>
    <t>Management of World Heritage Sites, Cultural Landscapes and Sustainability</t>
  </si>
  <si>
    <t>Cravidão, Fernanda;Santos, Norberto</t>
  </si>
  <si>
    <t>G140.5$b.M363 2020</t>
  </si>
  <si>
    <t>World Heritage areas-Management.</t>
  </si>
  <si>
    <t>Design of Energy-Efficient Buildings</t>
  </si>
  <si>
    <t>Mohasseb, Sassan</t>
  </si>
  <si>
    <t>Conservation Research in Libraries</t>
  </si>
  <si>
    <t>De Gruyter Saur</t>
  </si>
  <si>
    <t>Current Topics in Library and Information Practice Ser.</t>
  </si>
  <si>
    <t>Howell, David;Snijders, Ludo</t>
  </si>
  <si>
    <t>Z701$b.H69 2020</t>
  </si>
  <si>
    <t>025.8/4</t>
  </si>
  <si>
    <t>Library materials-Conservation and restoration.</t>
  </si>
  <si>
    <t>Communities and Place : A Thematic Approach to the Histories of LGBTQ Communities in the United States</t>
  </si>
  <si>
    <t>Crawford-Lackey, Katherine;Springate, Megan E.</t>
  </si>
  <si>
    <t>HQ73.3.U6 C66 2020</t>
  </si>
  <si>
    <t>Mapping, Managing, and Crafting Sustainable Business Strategies for the Circular Economy</t>
  </si>
  <si>
    <t>Rodrigues, Susana Serrano;Almeida, Paulo Jorge;Almeida, Nuno Miguel Castaheira</t>
  </si>
  <si>
    <t>HC79.E5 M355</t>
  </si>
  <si>
    <t>Business-Environmental aspects. ; Sustainable development. ; Social responsibility of business.</t>
  </si>
  <si>
    <t>Innovation Energy: Trends and Perspectives or Challenges of Energy Innovation</t>
  </si>
  <si>
    <t>Tantau, Dumitru Adrian</t>
  </si>
  <si>
    <t>Sleep, Cognition and Emotion: from Molecules to Social Ecology</t>
  </si>
  <si>
    <t>Sleep - Physiology, Functions, Dreaming and Disorders Ser.</t>
  </si>
  <si>
    <t>Salado, Ignacio Ramírez</t>
  </si>
  <si>
    <t>Sustainability in the Entrepreneurial Ecosystem : Operating Mechanisms and Enterprise Growth</t>
  </si>
  <si>
    <t>Gao, Yang;Tsai, Sang-Bing;Du, Xiaomin;Xin, Chunlin</t>
  </si>
  <si>
    <t>HB615 .S977</t>
  </si>
  <si>
    <t>Entrepreneurship-Environmental aspects.</t>
  </si>
  <si>
    <t>Food: Nutrition, Packaging, Waste and Safety</t>
  </si>
  <si>
    <t>Mills, Christopher D.</t>
  </si>
  <si>
    <t>664/.024</t>
  </si>
  <si>
    <t>Utilizing Decision Support Systems for Strategic Public Policy Planning</t>
  </si>
  <si>
    <t>Timoulali, Mohamed</t>
  </si>
  <si>
    <t>HC79.E5 T557</t>
  </si>
  <si>
    <t>Sustainable development-Decision making. ; Policy sciences-Decision making.</t>
  </si>
  <si>
    <t>The Dangers of Fashion : Towards Ethical and Sustainable Solutions</t>
  </si>
  <si>
    <t>Marcketti, Sara B.;Karpova, Elena E.</t>
  </si>
  <si>
    <t>HD9940.A2$b.D364 2020</t>
  </si>
  <si>
    <t>Clothing trade-Moral and ethical aspects.</t>
  </si>
  <si>
    <t>The Role of Multilateral Environmental Agreements : A Reconciliatory Approach to Environmental Protection in Armed Conflict</t>
  </si>
  <si>
    <t>Sjostedt, Britta</t>
  </si>
  <si>
    <t>K3585$b.S57 2020</t>
  </si>
  <si>
    <t>Speaking Private Authority : The Construction of Sustainability in Forests and Fisheries</t>
  </si>
  <si>
    <t>Flores, Roberto J.</t>
  </si>
  <si>
    <t>SD387.S87$b.F567 2020</t>
  </si>
  <si>
    <t>Argentine Chaco Forests                       Dendrology, tree structure and economic use : 2. The humid Chaco</t>
  </si>
  <si>
    <t>Borntraeger</t>
  </si>
  <si>
    <t>Roth, Ingrid;Gimenez, Ana-Maria</t>
  </si>
  <si>
    <t>SD156.G68 .R684 2006</t>
  </si>
  <si>
    <t>Wald. ; Semiarides Gebiet. ; Pflanzenanatomie.</t>
  </si>
  <si>
    <t>Overall-effective measures for sustainable water resources management in the coastal area of Shandong Province, PR China.</t>
  </si>
  <si>
    <t>Kaden, Stefan;Geiger, Wolfgang</t>
  </si>
  <si>
    <t>Environmental Studies; Business/Management; Agriculture; Economics</t>
  </si>
  <si>
    <t>HD1698.C52 .O947 2013</t>
  </si>
  <si>
    <t>Sustainable development-China-Shandong Sheng. ; Water resources development-China-Shandong Sheng. ; Water-supply-China-Shandong Sheng-Management.</t>
  </si>
  <si>
    <t>Sustainable Water and Agricultural Land Use in the Guanting Basin under Limited Water Resources</t>
  </si>
  <si>
    <t>Wechsung, Frank;Kaden, Stefan;Venohr, Markus;Hofmann, Jürgen;Meisel, Jens;XU, Zhenci</t>
  </si>
  <si>
    <t>Agriculture; Environmental Studies; Economics; Business/Management</t>
  </si>
  <si>
    <t>HD1698.C5 .S878 2017</t>
  </si>
  <si>
    <t>Water resources development-China. ; Water-supply-China.</t>
  </si>
  <si>
    <t>Soils within Cities : Global approaches to their sustainable management - composition, properties, and functions of soils of the urban environment</t>
  </si>
  <si>
    <t>Levin, Maxine J.;Kim, Kye-Hoon John;Morel, Jean Louis;Burghardt, Wolfgang;Charzynski, Przemyslaw;Shaw, Richard K.;IUSS Working Group SUITMA</t>
  </si>
  <si>
    <t>S592.17.U73 .S655 2017</t>
  </si>
  <si>
    <t>Urban ecology (Biology) ; Urban soils.</t>
  </si>
  <si>
    <t>A Comprehensive Field Guide to Medicinal Plant Biodiversity of Myanmar and Mauritius</t>
  </si>
  <si>
    <t>Uniyal, Mayaram</t>
  </si>
  <si>
    <t>The Changing Global Environment in Asia and Human Resource Management Strategies</t>
  </si>
  <si>
    <t>Andreosso-O'Callaghan, Bernadette</t>
  </si>
  <si>
    <t>Long-Term Farming Systems Research : Ensuring Food Security in Changing Scenarios</t>
  </si>
  <si>
    <t>Bhullar, Gurbir S.;Riar, Amritbir</t>
  </si>
  <si>
    <t>S494.5.S86$b.L664 2020</t>
  </si>
  <si>
    <t>630.2/086</t>
  </si>
  <si>
    <t>Sustainable Seaweed Technologies : Cultivation, Biorefinery, and Applications</t>
  </si>
  <si>
    <t>Torres, María Dolores;Kraan, Stefan;Dominguez, Herminia;Torres, María Dolores;Kraan, Stefan;Dominguez, Herminia</t>
  </si>
  <si>
    <t>QK570.2$b.K736 2020</t>
  </si>
  <si>
    <t>Marine algae.</t>
  </si>
  <si>
    <t>Advances in Environmental Research. Volume 72</t>
  </si>
  <si>
    <t>Ecopreneurship : Business Practices for a Sustainable Future</t>
  </si>
  <si>
    <t>De Gruyter Studies in Innovation and Entrepreneurship Ser.</t>
  </si>
  <si>
    <t>Schneider, Niels Robert</t>
  </si>
  <si>
    <t>HB615$b.S364 2020</t>
  </si>
  <si>
    <t>From Eco-Cities to Sustainable City-Regions : China's Uncertain Quest for an Ecological Civilization</t>
  </si>
  <si>
    <t>HT243.C6$b.Y363 2020</t>
  </si>
  <si>
    <t>720/.470951</t>
  </si>
  <si>
    <t>Sustainable urban development-China.</t>
  </si>
  <si>
    <t>Straw Bale Construction Manual : Design and Technology of a Sustainable Architecture</t>
  </si>
  <si>
    <t>Minke, Gernot;Krick, Benjamin</t>
  </si>
  <si>
    <t>NA2750$b.M565 2020</t>
  </si>
  <si>
    <t>Architecture-Designs and plans.</t>
  </si>
  <si>
    <t>Designing Sustainable Cities : Manageable Approaches to Make Urban Spaces Better</t>
  </si>
  <si>
    <t>Bürstmayr, Sigrid;Stocker, Karl;Draus, Paul;Breathe Earth Collective, Breathe Earth;Arabacıoğlu, Burcin;Ciravoğlu, Ayşen;Polatoğlu, Ciğdem;Valle, Paulina Cornejo Moreno;Ulicka, Sylwia</t>
  </si>
  <si>
    <t>HT241 .D475 2020</t>
  </si>
  <si>
    <t>New and Future Developments in Microbial Biotechnology and Bioengineering : Trends of Microbial Biotechnology for Sustainable Agriculture and Biomedicine Systems: Perspectives for Human Health</t>
  </si>
  <si>
    <t>Rastegari, Ali Asghar;Yadav, Ajar Nath;Yadav, Neelam</t>
  </si>
  <si>
    <t>E915$b.R378 2020</t>
  </si>
  <si>
    <t>New and Future Developments in Microbial Biotechnology and Bioengineering : Trends of Microbial Biotechnology for Sustainable Agriculture and Biomedicine Systems: Diversity and Functional Perspectives</t>
  </si>
  <si>
    <t>TP248.27.M53$b.N49 2020</t>
  </si>
  <si>
    <t>TESOL and Sustainability : English Language Teaching in the Anthropocene Era</t>
  </si>
  <si>
    <t>Bloomsbury Advances in Ecolinguistics Ser.</t>
  </si>
  <si>
    <t>Goulah, Jason;Katunich, John</t>
  </si>
  <si>
    <t>PE1128.A2$b.T476 2020</t>
  </si>
  <si>
    <t>Synthetic Polymeric Membranes for Advanced Water Treatment, Gas Separation, and Energy Sustainability</t>
  </si>
  <si>
    <t>Ismail, Ahmad Fauzi;Wan Salleh, Wan Norharyati;Yusof, Norhaniza</t>
  </si>
  <si>
    <t>TP159.M4$b.I863 2020</t>
  </si>
  <si>
    <t>Polymeric membranes.</t>
  </si>
  <si>
    <t>Agroecology: Insights, Experiences and Perspectives</t>
  </si>
  <si>
    <t>Mossi, Altemir José</t>
  </si>
  <si>
    <t>S589.7$b.A376 2020</t>
  </si>
  <si>
    <t>Agricultural ecology.</t>
  </si>
  <si>
    <t>Waste-To-Energy : Multi-Criteria Decision Analysis for Sustainability Assessment and Ranking</t>
  </si>
  <si>
    <t>TP360$b.W378 2020</t>
  </si>
  <si>
    <t>Refuse as fuel.</t>
  </si>
  <si>
    <t>Strategic Human Capital : Creating a Sustainable Competitive Advantage</t>
  </si>
  <si>
    <t>New Horizons in Management Ser.</t>
  </si>
  <si>
    <t>Lanza, Andrea;Simone, Giuseppina</t>
  </si>
  <si>
    <t>HD4904.7$b.L369 2020</t>
  </si>
  <si>
    <t>Advances in Environmental Engineering and Sustainability</t>
  </si>
  <si>
    <t>Estoková, Adriana;Václavík, Vojtěch;Dvorský, Tomás;Stevulová, Nadezda</t>
  </si>
  <si>
    <t>Can We Cope with the Complexity of Reality? Why Craving Easy Answers Is at the Root of Our Problems</t>
  </si>
  <si>
    <t>Jucker, Rolf</t>
  </si>
  <si>
    <t>GE195$b.J835 2020</t>
  </si>
  <si>
    <t>Sustainability-Philosophy.</t>
  </si>
  <si>
    <t>Renewable Energy Finance: Funding The Future Of Energy (Second Edition)</t>
  </si>
  <si>
    <t>Donovan, Charles W</t>
  </si>
  <si>
    <t>HD9502.A2$b.R464 2020</t>
  </si>
  <si>
    <t>Renewable energy sources-Finance.</t>
  </si>
  <si>
    <t>Sustainable Wellbeing Futures : A Research and Action Agenda for Ecological Economics</t>
  </si>
  <si>
    <t>Costanza, Robert;Erickson, Jon D.;Farley, Joshua</t>
  </si>
  <si>
    <t>HN25$b.S878 2020</t>
  </si>
  <si>
    <t>Well-being.</t>
  </si>
  <si>
    <t>The Elgar Companion to Geography, Transdisciplinarity and Sustainability</t>
  </si>
  <si>
    <t>Sarmiento, Fausto O.;Frolich, Larry M.</t>
  </si>
  <si>
    <t>G128$b.E443 2020</t>
  </si>
  <si>
    <t>Geography.</t>
  </si>
  <si>
    <t>Sustainable Water: Resources, Management and Challenges</t>
  </si>
  <si>
    <t>Water Resource Planning, Development and Management Ser.</t>
  </si>
  <si>
    <t>Gude, Veera Gnaneswar</t>
  </si>
  <si>
    <t>An Analysis of the Role of Cycling in Sustainable Urban Mobility : The Importance of the Bicycle</t>
  </si>
  <si>
    <t>Marqués, Ricardo</t>
  </si>
  <si>
    <t>TL410$b.M377 2020</t>
  </si>
  <si>
    <t>Bicycles.</t>
  </si>
  <si>
    <t>Das Kompensationsprinzip : Grundlagen einer prospektiven Ausgleichsordnung für die Folgen privater Freiheitsbetätigung - Zur Flexibilisierung des Verwaltungsrechts am Beispiel des Umwelt- und Planungsrechts</t>
  </si>
  <si>
    <t>Jus Publicum</t>
  </si>
  <si>
    <t>Voßkuhle, Andreas</t>
  </si>
  <si>
    <t>Botswana Cultural Heritage and Sustainable Tourism Development : A Handbook of Theory and Practice</t>
  </si>
  <si>
    <t>Brown, Byron A.;Mokgalo, Lelokwane L.;Chipfuva, Tsitsi</t>
  </si>
  <si>
    <t>G156.5.H47$b.B687 2020</t>
  </si>
  <si>
    <t>Heritage tourism.</t>
  </si>
  <si>
    <t>Sustainable Ceramics : A Practical Approach</t>
  </si>
  <si>
    <t>New Ceramics Ser.</t>
  </si>
  <si>
    <t>Harrison, Robert</t>
  </si>
  <si>
    <t>Engineering: Chemical; Engineering; Fine Arts</t>
  </si>
  <si>
    <t>TP807 .H377 2022</t>
  </si>
  <si>
    <t>Pottery. ; Sustainability. ; Environmental management.</t>
  </si>
  <si>
    <t>The Global Sustainability Challenge</t>
  </si>
  <si>
    <t>HC79.E5$b.G563 2020</t>
  </si>
  <si>
    <t>Fundamentals Of Sustainable Business: A Guide For The Next 100 Years (Second Edition)</t>
  </si>
  <si>
    <t>World Scientific Series On 21st Century Business</t>
  </si>
  <si>
    <t>Tueth, Mattew W</t>
  </si>
  <si>
    <t>HC79.E5$b.T848 2020</t>
  </si>
  <si>
    <t>Pulsed Electric Fields to Obtain Healthier and Sustainable Food for Tomorrow</t>
  </si>
  <si>
    <t>Barba, Francisco J.;Parniakov, Oleksii;Wiktor, Artur</t>
  </si>
  <si>
    <t>TP370 .P857 2020</t>
  </si>
  <si>
    <t>A Practical Guide to Plastics Sustainability : Concept, Solutions, and Implementation</t>
  </si>
  <si>
    <t>William Andrew</t>
  </si>
  <si>
    <t>Plastics Design Library</t>
  </si>
  <si>
    <t>Biron, Michel</t>
  </si>
  <si>
    <t>TD798$b.B576 2020</t>
  </si>
  <si>
    <t>Plastics-Environmental aspects.</t>
  </si>
  <si>
    <t>Bioprocess Engineering : Kinetics, Sustainability, and Reactor Design</t>
  </si>
  <si>
    <t>Liu, Shijie</t>
  </si>
  <si>
    <t>TP248.3$b.L58 2020</t>
  </si>
  <si>
    <t>Biochemical engineering.</t>
  </si>
  <si>
    <t>Developing Sustainable Food Systems, Policies, and Securities</t>
  </si>
  <si>
    <t>Obayelu, Abiodun Elijah;Obayelu, Oluwakemi Adeola</t>
  </si>
  <si>
    <t>S473.N5 D48</t>
  </si>
  <si>
    <t>333.76/1609669</t>
  </si>
  <si>
    <t>Sustainable agriculture-Nigeria.</t>
  </si>
  <si>
    <t>Sustainable Nanocellulose and Nanohydrogels from Natural Sources</t>
  </si>
  <si>
    <t>Mohammad, Faruq;Al-lohedan, Hamad A.;Jawaid, Mohammad</t>
  </si>
  <si>
    <t>Engineering: Chemical; Engineering: General; Engineering</t>
  </si>
  <si>
    <t>TP248.65.P62$b.S878 2020</t>
  </si>
  <si>
    <t>Biopolymers-Industrial applications.</t>
  </si>
  <si>
    <t>Handbook of U. S. Environmental Policy</t>
  </si>
  <si>
    <t>Konisky, David M.</t>
  </si>
  <si>
    <t>HC110.E5$b.H363 2020</t>
  </si>
  <si>
    <t>Environmental policy-United States.</t>
  </si>
  <si>
    <t>Advances in Environmental Research. Volume 71</t>
  </si>
  <si>
    <t>Environmental Racism in the United States and Canada: Seeking Justice and Sustainability</t>
  </si>
  <si>
    <t>Johansen, Bruce E.</t>
  </si>
  <si>
    <t>GE230$b.J643 2020</t>
  </si>
  <si>
    <t>Environmental justice-United States-Case studies.</t>
  </si>
  <si>
    <t>New Generation Green Solvents for Separation and Preconcentration of Organic and Inorganic Species</t>
  </si>
  <si>
    <t>Soylak, Mustafa;Yilmaz, Erkan</t>
  </si>
  <si>
    <t>TP155.2.E58$b.N49 2020</t>
  </si>
  <si>
    <t>Forms of Experienced Environments : Questioning Relations Between Humans, Aesthetics, and Sciences</t>
  </si>
  <si>
    <t>Blanc, Nathalie;Degeorges, Patrick;Manola, Théa</t>
  </si>
  <si>
    <t>GF41$b.F676 2020</t>
  </si>
  <si>
    <t>Human ecology.</t>
  </si>
  <si>
    <t>Bioreactors : Sustainable Design and Industrial Applications in Mitigation of GHG Emissions</t>
  </si>
  <si>
    <t>Singh, Lakhveer;Yousuf, Abu;Mahapatra, Durga Madhab;Mahapatra, Durga Madhab</t>
  </si>
  <si>
    <t>TP248.25.B55$b.B567 2020</t>
  </si>
  <si>
    <t>Bioreactors.</t>
  </si>
  <si>
    <t>The Poets and Writers Complete Guide to Being a Writer : Everything You Need to Know about Craft, Inspiration, Agents, Editors, Publishing, and the Business of Building a Sustainable Writing Career</t>
  </si>
  <si>
    <t>Avid Reader Press</t>
  </si>
  <si>
    <t>Larimer, Kevin;Gannon, Mary</t>
  </si>
  <si>
    <t>P211$b.L375 2020</t>
  </si>
  <si>
    <t>Writing-Handbooks, manuals, etc.</t>
  </si>
  <si>
    <t>Environmental Technology and Sustainability : Physical, Chemical and Biological Technologies for Clean Environmental Management</t>
  </si>
  <si>
    <t>Behera, Basanta Kumara;Prasad, Ram</t>
  </si>
  <si>
    <t>LB3224.5$b.B447 2020</t>
  </si>
  <si>
    <t>Eco-Cities and Green Transport</t>
  </si>
  <si>
    <t>Lu, Huapu</t>
  </si>
  <si>
    <t>Z7164.U72$b.L8 2020</t>
  </si>
  <si>
    <t>Green technology-Transportation.</t>
  </si>
  <si>
    <t>Energy Harvesting Technologies for Powering WPAN and IoT Devices for Industry 4. 0 Up-Gradation</t>
  </si>
  <si>
    <t>Singh, Rajesh</t>
  </si>
  <si>
    <t>Climate Change and Food Security with Emphasis on Wheat</t>
  </si>
  <si>
    <t>Ozturk, Munir;Gul, Alvina</t>
  </si>
  <si>
    <t>SB191.W5$b.C556 2020</t>
  </si>
  <si>
    <t>Wheat-Climatic factors.</t>
  </si>
  <si>
    <t>Anthropological Approaches to Understanding Consumption Patterns and Consumer Behavior</t>
  </si>
  <si>
    <t>Chkoniya, Valentina;Madsen, Ana Oliveira;Bukhrashvili, Paata</t>
  </si>
  <si>
    <t>HB801 .A648</t>
  </si>
  <si>
    <t>Consumption (Economics)-Statistical methods.</t>
  </si>
  <si>
    <t>Political Ecology and Environmentalism in Britain</t>
  </si>
  <si>
    <t>Prendiville, Brendan;Haigron, David</t>
  </si>
  <si>
    <t>GE195$b.P655 2020</t>
  </si>
  <si>
    <t>Airline Green Operations Strategies : Emerging Research and Opportunities</t>
  </si>
  <si>
    <t>Migdadi, Yazan Khalid Abed-Allah</t>
  </si>
  <si>
    <t>HE9780 .M53</t>
  </si>
  <si>
    <t>Ecological disturbances-Aviation-Management.</t>
  </si>
  <si>
    <t>Perspectives on Waste from the Social Sciences and Humanities : Opening the Bin</t>
  </si>
  <si>
    <t>Ek, Richard</t>
  </si>
  <si>
    <t>HD4482$b.P477 2020</t>
  </si>
  <si>
    <t>Refuse and refuse disposal-Social aspects.</t>
  </si>
  <si>
    <t>Museum Membership Innovation : Unlocking Ideas for Audience Engagement and Sustainable Revenue</t>
  </si>
  <si>
    <t>Siemer, Rosie</t>
  </si>
  <si>
    <t>AM122$b.S546 2020</t>
  </si>
  <si>
    <t>Museum finance.</t>
  </si>
  <si>
    <t>International Journal of Social Ecology and Sustainable Development (IJSESD) Volume 11, Issue 2</t>
  </si>
  <si>
    <t>HC79.E5$b.I584 2020</t>
  </si>
  <si>
    <t>Sustainable development-Citizen participation.</t>
  </si>
  <si>
    <t>The pursuit of sustainable agriculture in EU free trade agreements</t>
  </si>
  <si>
    <t>European Institute for Food Law series</t>
  </si>
  <si>
    <t>Ferraris, Luchino</t>
  </si>
  <si>
    <t>KJE5177$b.F47 2020</t>
  </si>
  <si>
    <t>Free trade-European Union countries.</t>
  </si>
  <si>
    <t>International Journal of Sustainable Economies Management (IJSEM) Volume 9, Issue 2</t>
  </si>
  <si>
    <t>HC79.E5 .I584 2020</t>
  </si>
  <si>
    <t>Multifunctional Hybrid Nanomaterials for Sustainable Agri-Food and Ecosystems</t>
  </si>
  <si>
    <t>TA418.9.N35$b.M858 2020</t>
  </si>
  <si>
    <t>Nanostructured materials.</t>
  </si>
  <si>
    <t>Assessing the Environmental Impact of Textiles and the Clothing Supply Chain</t>
  </si>
  <si>
    <t>TD195.T48 .M884 2020</t>
  </si>
  <si>
    <t>363.73/1</t>
  </si>
  <si>
    <t>Textile industry-Environmental aspects.</t>
  </si>
  <si>
    <t>Building an Entrepreneurial and Sustainable Society</t>
  </si>
  <si>
    <t>Hernández-Sánchez, Brizeida R.;Sánchez-García, José C.;Moreira, Antonio Carrizo</t>
  </si>
  <si>
    <t>HB615 .B853</t>
  </si>
  <si>
    <t>Entrepreneurship-Social aspects.</t>
  </si>
  <si>
    <t>Green Approaches in Medicinal Chemistry for Sustainable Drug Design</t>
  </si>
  <si>
    <t>Banik, Bimal;Banik, Bimal K.</t>
  </si>
  <si>
    <t>RS403 .G744 2020</t>
  </si>
  <si>
    <t>Pharmaceutical chemistry.</t>
  </si>
  <si>
    <t>Modern and Renewable Materials in Civil Engineering</t>
  </si>
  <si>
    <t>Brozovsky, Jiri</t>
  </si>
  <si>
    <t>Engineering: Construction; Engineering; Engineering: Civil</t>
  </si>
  <si>
    <t>Scalability and Sustainability of Business Models in Circular, Sharing and Networked Economies</t>
  </si>
  <si>
    <t>Jabłoński, Adam;Jabłoński, Marek</t>
  </si>
  <si>
    <t>HD69.S8$b.S335 2020</t>
  </si>
  <si>
    <t>When Energy Is Released from Atoms : The Story of the Manhattan Project</t>
  </si>
  <si>
    <t>Chen, Falin</t>
  </si>
  <si>
    <t>Engineering: General; Engineering; Science; Science: Physics</t>
  </si>
  <si>
    <t>QC773.3.U5$b.C446 2020</t>
  </si>
  <si>
    <t>Manhattan Project (U.S.)</t>
  </si>
  <si>
    <t>Adaptation Measures for Urban Heat Islands</t>
  </si>
  <si>
    <t>Takebayashi, Hideki;Moriyama, Masakazu</t>
  </si>
  <si>
    <t>QC981.7.U7 .A337 2020</t>
  </si>
  <si>
    <t>Urban heat island. ; Urban climatology.</t>
  </si>
  <si>
    <t>The Role of Public Participation in Energy Transitions</t>
  </si>
  <si>
    <t>Renn, Ortwin;Ulmer, Frank;Deckert, Anna</t>
  </si>
  <si>
    <t>TJ808 .R654 2020</t>
  </si>
  <si>
    <t>Renewable energy sources-Social aspects.</t>
  </si>
  <si>
    <t>Transnational Interconnections of Nature Studies and the Environmental Humanities</t>
  </si>
  <si>
    <t>Emmanouilidou, Sophia;Toska, Sezgin</t>
  </si>
  <si>
    <t>GE105$b.T736 2020</t>
  </si>
  <si>
    <t>Recent Advancements in Sustainable Entrepreneurship and Corporate Social Responsibility</t>
  </si>
  <si>
    <t>Gurtu, Amulya</t>
  </si>
  <si>
    <t>HD60 .R4415</t>
  </si>
  <si>
    <t>Advances in Environmental Research. Volume 70</t>
  </si>
  <si>
    <t>Waste Heat: Sources and Uses</t>
  </si>
  <si>
    <t>Picard, Michèle</t>
  </si>
  <si>
    <t>Nanomaterials for Sustainable Energy and Environmental Remediation</t>
  </si>
  <si>
    <t>Materials Today Ser.</t>
  </si>
  <si>
    <t>Naushad, Mu;Saravanan, R.;Kumar, Raju</t>
  </si>
  <si>
    <t>TA418.9.N35 .N366 2020</t>
  </si>
  <si>
    <t>Toward Sustainability Through Digital Technologies and Practices in the Eurasian Region</t>
  </si>
  <si>
    <t>Tazhina, Gainiya;Parker, Judith</t>
  </si>
  <si>
    <t>HM851 .T675</t>
  </si>
  <si>
    <t>Computer networks-Social aspects-Eurasia.</t>
  </si>
  <si>
    <t>Plastic Waste and Recycling : Environmental Impact, Societal Issues, Prevention, and Solutions</t>
  </si>
  <si>
    <t>TD798$b.P537 2020</t>
  </si>
  <si>
    <t>Plastic scrap.</t>
  </si>
  <si>
    <t>New Trends for Biomass Energy Development: from Wood to Circular Economy</t>
  </si>
  <si>
    <t>Nunes, Leonel</t>
  </si>
  <si>
    <t>History, Change and Sustainability</t>
  </si>
  <si>
    <t>Möller, Detlev</t>
  </si>
  <si>
    <t>QC879.6$b.M655 2020</t>
  </si>
  <si>
    <t>Atmospheric chemistry.</t>
  </si>
  <si>
    <t>Advanced Green Chemistry - Part 2: From Catalysis To Chemistry Frontiers</t>
  </si>
  <si>
    <t>Series On Chemistry, Energy And The Environment</t>
  </si>
  <si>
    <t>Horvath, Istvan T;Malacria, Max</t>
  </si>
  <si>
    <t>TP155.2.E58$b.A383 2020</t>
  </si>
  <si>
    <t>Lost Land of the Dodo : The Ecological History of Mauritius, Réunion and Rodrigues</t>
  </si>
  <si>
    <t>T &amp; AD Poyser</t>
  </si>
  <si>
    <t>Cheke, Anthony;Hume, Julian P.</t>
  </si>
  <si>
    <t>Science: Biology/Natural History; History</t>
  </si>
  <si>
    <t>Evaluation of double recirculating aquaponic systems for intensive plant production</t>
  </si>
  <si>
    <t>Suhl, Johanna</t>
  </si>
  <si>
    <t>HC79.E5$b.S845 2020</t>
  </si>
  <si>
    <t>An Ape Ethic and the Question of Personhood</t>
  </si>
  <si>
    <t>Tague, Gregory F.</t>
  </si>
  <si>
    <t>Science; Psychology; Science: Zoology</t>
  </si>
  <si>
    <t>QL737.P96$b.T348 2020</t>
  </si>
  <si>
    <t>Apes-Behavior.</t>
  </si>
  <si>
    <t>Inorganic Pollutants in Water</t>
  </si>
  <si>
    <t>Devi, Pooja;Singh, Pardeep;Kansal, Sushil Kumar;Kansal, Sushil Kumar</t>
  </si>
  <si>
    <t>TD420$b.I567 2020</t>
  </si>
  <si>
    <t>Water-Pollution.</t>
  </si>
  <si>
    <t>Agri-Food Industry Strategies for Healthy Diets and Sustainability : New Challenges in Nutrition and Public Health</t>
  </si>
  <si>
    <t>Barba, Francisco J.;Putnik, Predrag;Bursac Kovacevic, Danijela</t>
  </si>
  <si>
    <t>RA784 .A375 2020</t>
  </si>
  <si>
    <t>Nutrition. ; Nutrition policy. ; Food habits.</t>
  </si>
  <si>
    <t>Sustainable Materials Science - Environmental Metallurgy : Volume 1 : Origins, Basics, Resource and Energy Needs</t>
  </si>
  <si>
    <t>Environmental Studies; Science: Chemistry</t>
  </si>
  <si>
    <t>Entrepreneurial Opportunities : Economics and Sustainability for Future Growth</t>
  </si>
  <si>
    <t>HB615-715</t>
  </si>
  <si>
    <t>The Global Business Environment : Towards Sustainability?</t>
  </si>
  <si>
    <t>Morrison, Janet</t>
  </si>
  <si>
    <t>Digital HR Strategy : Achieving Sustainable Transformation in the Digital Age</t>
  </si>
  <si>
    <t>Sen, Soumyasanto</t>
  </si>
  <si>
    <t>HF5549.5.T33 .S46 2020</t>
  </si>
  <si>
    <t>Personnel management-Technological innovations.</t>
  </si>
  <si>
    <t>America's Public Lands : From Yellowstone to Smokey Bear and Beyond</t>
  </si>
  <si>
    <t>Wilson, Randall K.</t>
  </si>
  <si>
    <t>Law; Economics</t>
  </si>
  <si>
    <t>KF26$b.W557 2020</t>
  </si>
  <si>
    <t>Public lands-United States.</t>
  </si>
  <si>
    <t>Digital Food : From Paddock to Platform</t>
  </si>
  <si>
    <t>Lewis, Tania</t>
  </si>
  <si>
    <t>GT2850$b.L495 2020</t>
  </si>
  <si>
    <t>Food in popular culture.</t>
  </si>
  <si>
    <t>Advances in Energy Research. Volume 32</t>
  </si>
  <si>
    <t>Nuclear Waste: Management, Storage and Disposal</t>
  </si>
  <si>
    <t>Tikkanen, Samuli</t>
  </si>
  <si>
    <t>Engineering; Engineering: Environmental; Engineering: General</t>
  </si>
  <si>
    <t>TD898 .N835 2020</t>
  </si>
  <si>
    <t>Radioactive waste disposal.</t>
  </si>
  <si>
    <t>The Ultrastructure of Pathogenic Bacteria under Different Ecological Conditions</t>
  </si>
  <si>
    <t>Mikhailovna Somova, Larisa</t>
  </si>
  <si>
    <t>QR41.2$b.M554 2020</t>
  </si>
  <si>
    <t>Microbiology.</t>
  </si>
  <si>
    <t>Climate Adaptation for a Sustainable Economy: Lessons from Bangladesh, an Emerging Tiger of Asia</t>
  </si>
  <si>
    <t>Hossain, Moazzem</t>
  </si>
  <si>
    <t>Global Perspectives on Violence Against Women and Girls</t>
  </si>
  <si>
    <t>Bradley, Tamsin</t>
  </si>
  <si>
    <t>HV6250.4.W65$b.B733 2020</t>
  </si>
  <si>
    <t>Women-Crimes against.</t>
  </si>
  <si>
    <t>Practical Evaluation for Conservation Education and Outreach : Assessing Impacts &amp; Enhancing Effectiveness</t>
  </si>
  <si>
    <t>Clavijo, Katherine;Khalil, Kathayoon A.</t>
  </si>
  <si>
    <t>S946$b.C538 2020</t>
  </si>
  <si>
    <t>Conservation of natural resources-Study and teaching.</t>
  </si>
  <si>
    <t>Ergonomic Operational Working Aspects of Forest Machines</t>
  </si>
  <si>
    <t>Kováč, Ján;Dvořák, Jiří;Krilek, Jozef</t>
  </si>
  <si>
    <t>TA166$b.K683 2020</t>
  </si>
  <si>
    <t>Cross-Border Cooperation (CBC) Strategies for Sustainable Development</t>
  </si>
  <si>
    <t>HC59.3 .C76</t>
  </si>
  <si>
    <t>Borderlands-Economic aspects.</t>
  </si>
  <si>
    <t>Sustainability And Resources: Theoretical Issues In Dynamic Economics</t>
  </si>
  <si>
    <t>Majumdar, Mukul</t>
  </si>
  <si>
    <t>HC85$b.M358 2020</t>
  </si>
  <si>
    <t>Renewable natural resources.</t>
  </si>
  <si>
    <t>Handbook of Smart Photocatalytic Materials : Environment, Energy, Emerging Applications and Sustainability</t>
  </si>
  <si>
    <t>Mustansar Hussain, Chaudhery;Mishra, Ajay Kumar</t>
  </si>
  <si>
    <t>QD716.P45$b.H363 2020</t>
  </si>
  <si>
    <t>Photocatalysis.</t>
  </si>
  <si>
    <t>Urban Systems Design : Creating Sustainable Smart Cities in the Internet of Things Era</t>
  </si>
  <si>
    <t>Yamagata, Yoshiki;Yang, Perry P. J.</t>
  </si>
  <si>
    <t>HT241$b.U733 2020</t>
  </si>
  <si>
    <t>Environment, Social Justice, and the Media in the Age of the Anthropocene</t>
  </si>
  <si>
    <t>Dobbins, Elizabeth G.;Manca, Luigi;Piga, Maria Lucia;Branca, Domenico;Camarda, Ignazio;Chally, Brittany;Dell'Ultri, Massimo;Esu, Aide;Ferreri, Emanuela;Francioni, Federico</t>
  </si>
  <si>
    <t>GE195$b.E585 2020</t>
  </si>
  <si>
    <t>The Preservation Management Handbook : A 21st-Century Guide for Libraries, Archives, and Museums</t>
  </si>
  <si>
    <t>Conn, Donia;Harvey, Ross;Mahard, Martha R.</t>
  </si>
  <si>
    <t>Z701$b.H378 2020</t>
  </si>
  <si>
    <t>Accounting, Auditing, CSR, and the Taxation in a Changing Environment: a Study on Indonesia</t>
  </si>
  <si>
    <t>Business, Technology and Finance Ser.</t>
  </si>
  <si>
    <t>Shauki, Elvia R.</t>
  </si>
  <si>
    <t>Solid-State Cultivation of Grifola Frondosa and Ganoderma Lucidum: Technology, Research and Possibilities for Waste Utilization in Tropical Weathers</t>
  </si>
  <si>
    <t>Montoya, Sandra;Sanchez, Oscar J.;Arias, Diego F.</t>
  </si>
  <si>
    <t>A U-Turn to the Future : Sustainable Urban Mobility Since 1850</t>
  </si>
  <si>
    <t>Explorations in Mobility Ser.</t>
  </si>
  <si>
    <t>Emanuel, Martin;Schipper, Frank;Oldenziel, Ruth</t>
  </si>
  <si>
    <t>HE305 .A79 2020</t>
  </si>
  <si>
    <t>Colonial Seeds in African Soil : A Critical History of Forest Conservation in Sierra Leone</t>
  </si>
  <si>
    <t>Munro, Paul</t>
  </si>
  <si>
    <t>SD414.S5 M86 2020</t>
  </si>
  <si>
    <t>Cultural Resource Management : A Collaborative Primer for Archaeologists</t>
  </si>
  <si>
    <t>King, Thomas F.</t>
  </si>
  <si>
    <t>Introduction to Industrial Energy Efficiency : Energy Auditing, Energy Management, and Policy Issues</t>
  </si>
  <si>
    <t>Thollander, Patrik;Karlsson, Magnus;Rohdin, Patrik;Johan, Wollin;Rosenqvist, Jakob</t>
  </si>
  <si>
    <t>HD9502.A2$b.T465 2020</t>
  </si>
  <si>
    <t>Energy consumption.</t>
  </si>
  <si>
    <t>Sustainability of the Food System : Sovereignty, Waste, and Nutrients Bioavailability</t>
  </si>
  <si>
    <t>Betoret, Noelia;Betoret, Ester</t>
  </si>
  <si>
    <t>HD9000.5$b.S878 2020</t>
  </si>
  <si>
    <t>Food supply.</t>
  </si>
  <si>
    <t>Simple Farmhouse Life : DIY Projects for the All-Natural, Handmade Home</t>
  </si>
  <si>
    <t>Bass, Lisa</t>
  </si>
  <si>
    <t>Fine Arts; Home Economics</t>
  </si>
  <si>
    <t>TX301 .B377 2020</t>
  </si>
  <si>
    <t>Sustainable living. ; Gardening-Vegetables. ; Farmhouses.</t>
  </si>
  <si>
    <t>The War on the EPA : America's Endangered Environmental Protections</t>
  </si>
  <si>
    <t>Alley, William M.;Alley, Rosemarie</t>
  </si>
  <si>
    <t>HC110.E5 .A454 2020</t>
  </si>
  <si>
    <t>Floating PV Plants</t>
  </si>
  <si>
    <t>Rosa-Clot, Marco;Marco Tina, Giuseppe</t>
  </si>
  <si>
    <t>TK1087 .F563 2020</t>
  </si>
  <si>
    <t>Photovoltaic power generation.</t>
  </si>
  <si>
    <t>Current Developments in Biotechnology and Bioengineering : Advanced Membrane Separation Processes for Sustainable Water and Wastewater Management - Anaerobic Membrane Bioreactor Processes and Technologies</t>
  </si>
  <si>
    <t>Ngo, Hao Huu;Guo, Wenshan;Yong Ng, How;Mannina, Giorgio;Pandey, Ashok;Ngo, Huu Hao;Guo, Wenshan;Yong Ng, How;Mannina, Giorgio;Pandey, Ashok</t>
  </si>
  <si>
    <t>TP248.25.M45 .C877 2020</t>
  </si>
  <si>
    <t>Membrane reactors.</t>
  </si>
  <si>
    <t>Environmental, Social, and Governance (ESG) Investing : A Balanced Analysis of the Theory and Practice of a Sustainable Portfolio</t>
  </si>
  <si>
    <t>Hill, John</t>
  </si>
  <si>
    <t>HD60 .H555 2020</t>
  </si>
  <si>
    <t>Current Developments in Biotechnology and Bioengineering : Advanced Membrane Separation Processes for Sustainable Water and Wastewater Management - Aerobic Membrane Bioreactor Processes and Technologies</t>
  </si>
  <si>
    <t>Yong Ng, How;Ng, Tze Chiang;Ngo, Hao Huu;Mannina, Giorgio;Pandey, Ashok;Yong Ng, How;Ng, Tze Chiang;Ngo, Huu Hao;Mannina, Giorgio;Pandey, Ashok</t>
  </si>
  <si>
    <t>TP248.25.M45$b.C877 2020</t>
  </si>
  <si>
    <t>Current Developments in Biotechnology and Bioengineering : Advanced Membrane Separation Processes for Sustainable Water and Wastewater Management - Case Studies and Sustainability Analysis</t>
  </si>
  <si>
    <t>Mannina, Giorgio;Pandey, Ashok;Larroche, Christian;Yong Ng, How;Ngo, Hao Huu;Mannina, Giorgio;Pandey, Ashok;Larroche, Christian;Yong Ng, How;Ngo, Huu Hao</t>
  </si>
  <si>
    <t>The Interaction of Food Industry and Environment</t>
  </si>
  <si>
    <t>Galanakis, Charis;Galanakis, Charis M.</t>
  </si>
  <si>
    <t>Business/Management; Engineering; Economics; Engineering: Environmental</t>
  </si>
  <si>
    <t>TD195.F57 .I584 2021</t>
  </si>
  <si>
    <t>Water and the Environmental History of Modern India</t>
  </si>
  <si>
    <t>Saravanan, Velayutham</t>
  </si>
  <si>
    <t>HC79.E5$b.S273 2020</t>
  </si>
  <si>
    <t>Heritage, Cities and Sustainable Development : Interdisciplinary Approaches and International Case Studies</t>
  </si>
  <si>
    <t>P.I.E. - Peter Lang SA Éditions Scientifiques Internationales</t>
  </si>
  <si>
    <t>Cultural Management and Cultural Policy Education Ser.</t>
  </si>
  <si>
    <t>Doustaly, Cécile</t>
  </si>
  <si>
    <t>HC79.E5$b.H475 2019</t>
  </si>
  <si>
    <t>363.6/9091732</t>
  </si>
  <si>
    <t>Sustainable development-Case studies.</t>
  </si>
  <si>
    <t>Alternative Energy : Political, Economic, and Social Feasibility</t>
  </si>
  <si>
    <t>Simon, Christopher A.</t>
  </si>
  <si>
    <t>HD9502.U52 .S566 2020</t>
  </si>
  <si>
    <t>Energy policy-United States.</t>
  </si>
  <si>
    <t>The Albergo Diffuso Model : Community-Based Hospitality for a Sustained Competitive Advantage</t>
  </si>
  <si>
    <t>De Gruyter Studies in Tourism Ser.</t>
  </si>
  <si>
    <t>Droli, Maurizio</t>
  </si>
  <si>
    <t>G155.A1$b.D765 2019</t>
  </si>
  <si>
    <t>Dense + Green Cities : Architecture As Urban Ecosystem</t>
  </si>
  <si>
    <t>Schröpfer, Thomas</t>
  </si>
  <si>
    <t>NA2542.36 .S376 2020</t>
  </si>
  <si>
    <t>Sustainable architecture.</t>
  </si>
  <si>
    <t>Indicadores de sustentabilidad en el cantón Pimampiro, provincia Imbabura</t>
  </si>
  <si>
    <t>Ecológica</t>
  </si>
  <si>
    <t>Zuleta, María José;Aguirre, Patricia</t>
  </si>
  <si>
    <t>HC79.E5$b.Z854 2020</t>
  </si>
  <si>
    <t>Sustainability-Economic aspects.</t>
  </si>
  <si>
    <t>Corporate Social Responsibility Agenda, The: The Case For Sustainable And Responsible Business</t>
  </si>
  <si>
    <t>Delbard, Olivier</t>
  </si>
  <si>
    <t>HD60$b.D453 2020</t>
  </si>
  <si>
    <t>Sustaining Indigenous Songs : Contemporary Warlpiri Ceremonial Life in Central Australia</t>
  </si>
  <si>
    <t>Curran, Georgia</t>
  </si>
  <si>
    <t>DU125.W3 C87 2020</t>
  </si>
  <si>
    <t>The Sustainable(ish) Living Guide : Everything You Need to Know to Make Small Changes That Make a Big Difference</t>
  </si>
  <si>
    <t>Green Tree</t>
  </si>
  <si>
    <t>Gale, Jen</t>
  </si>
  <si>
    <t>GE196$b.G354 2020</t>
  </si>
  <si>
    <t>Sustainable Destination Branding and Marketing : Strategies for Tourism Development</t>
  </si>
  <si>
    <t>Sharma, Anukrati;Pulido-Fernández, Juan Ignacio;Hassan, Azizul;Heyes, Andy;Nadkarni, Sanjay;Alabau-Montoya, José;Ruiz-Molina, María-Eugenia;Mankhomwa, Elson;Chilembwe, James Malitoni;Mweiwa, Victor Ronald</t>
  </si>
  <si>
    <t>G156.5.S87$b.S878 2020</t>
  </si>
  <si>
    <t>Sustainable tourism-Marketing.</t>
  </si>
  <si>
    <t>Developing Ecological Consciousness : Becoming Fully Human</t>
  </si>
  <si>
    <t>Uhl, Christopher;Anderson, Jennifer</t>
  </si>
  <si>
    <t>QH541 .U35 2021</t>
  </si>
  <si>
    <t>Ecology. ; Sustainable development. ; Restoration ecology. ; Ecological assessment (Biology)</t>
  </si>
  <si>
    <t>Encyclopedia of Renewable and Sustainable Materials</t>
  </si>
  <si>
    <t>Choudhury, Imtiaz;Hashmi, Saleem;Choudhury, Imtiaz;Hashmi, M. S. J.</t>
  </si>
  <si>
    <t>HC85 .E539 2020</t>
  </si>
  <si>
    <t>Technology Management in International Entrepreneurship: Innovative Development and Sustainability</t>
  </si>
  <si>
    <t>Shvetsova, Olga A.</t>
  </si>
  <si>
    <t>Crayfish: Evolution, Habitat and Conservation Strategies</t>
  </si>
  <si>
    <t>Fish, Fishing and Fisheries Ser.</t>
  </si>
  <si>
    <t>Ribeiro, Felipe Bezerra</t>
  </si>
  <si>
    <t>Growth and Emerging Prospects of International Islamic Banking</t>
  </si>
  <si>
    <t>Rafay, Abdul</t>
  </si>
  <si>
    <t>HG3368.A6 .H376</t>
  </si>
  <si>
    <t>332.10917/67</t>
  </si>
  <si>
    <t>Banking law (Islamic law)</t>
  </si>
  <si>
    <t>International Journal of Social Ecology and Sustainable Development (IJSESD) Volume 11, Issue 1</t>
  </si>
  <si>
    <t>HM861 .I584 2020</t>
  </si>
  <si>
    <t>International Journal of Sustainable Entrepreneurship and Corporate Social Responsibility (IJSECSR) Volume 5, Issue 1</t>
  </si>
  <si>
    <t>International Journal of Sustainable Economies Management (IJSEM) Volume 9, Issue 1</t>
  </si>
  <si>
    <t>HC79.E5$b.D876 2020</t>
  </si>
  <si>
    <t>Global Perspectives on Eco-Aesthetics and Eco-Ethics : A Green Critique</t>
  </si>
  <si>
    <t>Maiti, Krishanu;Chakraborty, Soumyadeep;Slovic, Scott;Gordon, Frederick;Cole, David R.;Haris, Susan;Nayar, Pramod K.;Skea, Ann;Ourkiya, Asmae;Ali, Sk Tarik</t>
  </si>
  <si>
    <t>GE195$b.G563 2020</t>
  </si>
  <si>
    <t>How Is Paper Made and Sold?</t>
  </si>
  <si>
    <t>Cavendish Square Publishing LLC</t>
  </si>
  <si>
    <t>Where Do Goods Come From? Ser.</t>
  </si>
  <si>
    <t>Ryckman, Tatiana</t>
  </si>
  <si>
    <t>Sustainable Living : Going Green to Protect the Planet</t>
  </si>
  <si>
    <t>Lucent Press</t>
  </si>
  <si>
    <t>Hot Topics Ser.</t>
  </si>
  <si>
    <t>Burkhart, Juliana</t>
  </si>
  <si>
    <t>Handbook of Research on Smart Territories and Entrepreneurial Ecosystems for Social Innovation and Sustainable Growth</t>
  </si>
  <si>
    <t>Palma-Ruiz, Jesús Manuel;Saiz-Álvarez, José Manuel;Herrero-Crespo, Ángel</t>
  </si>
  <si>
    <t>HC79.E5 .S5264</t>
  </si>
  <si>
    <t>Sustainable development. ; Regional planning.</t>
  </si>
  <si>
    <t>Interdisciplinary Approaches to Public Policy and Sustainability</t>
  </si>
  <si>
    <t>Das, Rituparna;Mandal, Nivedita</t>
  </si>
  <si>
    <t>HC79.E5 I528</t>
  </si>
  <si>
    <t>Sustainable development-Government policy. ; Natural resources-Government policy. ; Environmental degradation. ; Economic development-Environmental aspects.</t>
  </si>
  <si>
    <t>Global Perspectives on Green Business Administration and Sustainable Supply Chain Management</t>
  </si>
  <si>
    <t>Khan, Syed Abdul Rehman</t>
  </si>
  <si>
    <t>HD30.255 .G578</t>
  </si>
  <si>
    <t>658.4/083</t>
  </si>
  <si>
    <t>The Art of Environmental Law : Governing with Aesthetics</t>
  </si>
  <si>
    <t>Richardson, Benjamin J.</t>
  </si>
  <si>
    <t>K3585$b.R53 2019</t>
  </si>
  <si>
    <t>Environmental law, International-Philosophy.</t>
  </si>
  <si>
    <t>Cost-Benefit Analysis of Environmental Health Interventions</t>
  </si>
  <si>
    <t>Guerriero, Carla</t>
  </si>
  <si>
    <t>Ethical Business Leadership in Troubling Times</t>
  </si>
  <si>
    <t>Studies in TransAtlantic Business Ethics Ser.</t>
  </si>
  <si>
    <t>Ciulla, Joanne B.;Scharding, Tobey K.</t>
  </si>
  <si>
    <t>HD60 .E845 2019</t>
  </si>
  <si>
    <t>Social responsibility of business. ; Leadership-Moral and ethical aspects.</t>
  </si>
  <si>
    <t>Multi-Robot Exploration for Environmental Monitoring : The Resource Constrained Perspective</t>
  </si>
  <si>
    <t>Tiwari, Kshitij;Chong, Nak-Young</t>
  </si>
  <si>
    <t>Engineering: Mechanical; Engineering; Environmental Studies</t>
  </si>
  <si>
    <t>TJ211$b.T593 2019</t>
  </si>
  <si>
    <t>Sustainable Technologies for Fashion and Textiles</t>
  </si>
  <si>
    <t>Nayak, Rajkishore</t>
  </si>
  <si>
    <t>677/.00286</t>
  </si>
  <si>
    <t>European Whales, Dolphins, and Porpoises : Marine Mammal Conservation in Practice</t>
  </si>
  <si>
    <t>Evans, Peter G. H.</t>
  </si>
  <si>
    <t>Renewable Energy Finance : Theory and Practice</t>
  </si>
  <si>
    <t>Raikar, Santosh;Adamson, Seabron</t>
  </si>
  <si>
    <t>HD9502.A2$b.R355 2020</t>
  </si>
  <si>
    <t>Recycling of Flexible Plastic Packaging</t>
  </si>
  <si>
    <t>Niaounakis, Michael</t>
  </si>
  <si>
    <t>Research Handbook on Global Climate Constitutionalism</t>
  </si>
  <si>
    <t>Jaria-Manzano, Jordi;Borrás, Susana</t>
  </si>
  <si>
    <t>K3585 .R47 2019</t>
  </si>
  <si>
    <t>Global Challenges, Governance, and Complexity : Applications and Frontiers</t>
  </si>
  <si>
    <t>Galaz, Victor</t>
  </si>
  <si>
    <t>GE195 .G56 2019</t>
  </si>
  <si>
    <t>Sustainability-Political aspects.</t>
  </si>
  <si>
    <t>Current State and Future Impacts of Climate Change on Biodiversity</t>
  </si>
  <si>
    <t>Rathoure, Ashok Kumar;Chauhan, Pawan Bharati</t>
  </si>
  <si>
    <t>Science: Biology/Natural History; Economics; Science; Environmental Studies</t>
  </si>
  <si>
    <t>QH541.15.B56 C87</t>
  </si>
  <si>
    <t>Biodiversity-Climatic factors.</t>
  </si>
  <si>
    <t>Southeast Asia and Environmental Sustainability in Context</t>
  </si>
  <si>
    <t>Kukreja, Sunil;Amri, Ulil;Kontogeorgopoulos, Nick;O'Reilly, Patrick;Pham, Khanh;Rahman, Serina;Savage, Victor;Varkkey, Helena</t>
  </si>
  <si>
    <t>TD171.5.A7842$b.S688 2020</t>
  </si>
  <si>
    <t>Environmental protection-Southeast Asia.</t>
  </si>
  <si>
    <t>Sustainable Remediation of Contaminated Soil and Groundwater : Materials, Processes, and Assessment</t>
  </si>
  <si>
    <t>Hou, Deyi</t>
  </si>
  <si>
    <t>Engineering: General</t>
  </si>
  <si>
    <t>Energy and Behaviour : Towards a Low Carbon Future</t>
  </si>
  <si>
    <t>Lopes, Marta;Henggeler Antunes, Carlos;Janda, Kathryn B.</t>
  </si>
  <si>
    <t>HD9502.A2$b.E547 2020</t>
  </si>
  <si>
    <t>Pangolins : Science, Society and Conservation</t>
  </si>
  <si>
    <t>Challender, Daniel W. S.;Nash, Helen;Waterman, Carly</t>
  </si>
  <si>
    <t>Handbook of Electronic Waste Management : International Best Practices and Case Studies</t>
  </si>
  <si>
    <t>Prasad, M. N. V.;Vithanage, Meththika;Borthakur, Anwesha;Prasad, M. N. V.;Vithanage, Meththika;Borthakur, Anwesha</t>
  </si>
  <si>
    <t>TD799.85$b.H363 2020</t>
  </si>
  <si>
    <t>Advanced Remote Sensing : Terrestrial Information Extraction and Applications</t>
  </si>
  <si>
    <t>Liang, Shunlin;Wang, Jindi</t>
  </si>
  <si>
    <t>621.36/78</t>
  </si>
  <si>
    <t>Life Cycle Sustainability Assessment for Decision-Making : Methodologies and Case Studies</t>
  </si>
  <si>
    <t>Ren, Jingzheng;Toniolo, Sara</t>
  </si>
  <si>
    <t>TA177.7 .L544 2020</t>
  </si>
  <si>
    <t>Life cycle costing.</t>
  </si>
  <si>
    <t>Engineered Nanomaterials and Phytonanotechnology: Challenges for Plant Sustainability</t>
  </si>
  <si>
    <t>Verma, Sandeep Kumar;Das, Ashok Kumar</t>
  </si>
  <si>
    <t>QK754 .E545 2019</t>
  </si>
  <si>
    <t>Plants-Effect of stress on-Molecular aspects.</t>
  </si>
  <si>
    <t>Sustainable Agriculture : Advances in Plant Metabolome and Microbiome</t>
  </si>
  <si>
    <t>Parray, Javid Ahmad;Shameem, Nowsheen</t>
  </si>
  <si>
    <t>Agriculture; Environmental Studies</t>
  </si>
  <si>
    <t>Research Handbook on Law, Environment and the Global South</t>
  </si>
  <si>
    <t>Cullet, Philippe;Koonan, Sujith</t>
  </si>
  <si>
    <t>Catalysis, Green Chemistry and Sustainable Energy : New Technologies for Novel Business Opportunities</t>
  </si>
  <si>
    <t>Basile, Angelo;Centi, Gabriele;Falco, Marcello De;Iaquaniello, Gaetano;Basile, Angelo;Centi, Gabriele;Falco, Marcello De;Iaquaniello, Gaetano</t>
  </si>
  <si>
    <t>Engineering; Engineering: Chemical; Science; Science: Chemistry</t>
  </si>
  <si>
    <t>QD505$b.C383 2019</t>
  </si>
  <si>
    <t>Customer Satisfaction and Sustainability Initiatives in the Fourth Industrial Revolution</t>
  </si>
  <si>
    <t>Silvestri, Cecilia;Piccarozzi, Michela;Aquilani, Barbara</t>
  </si>
  <si>
    <t>HF5415.335 .C869</t>
  </si>
  <si>
    <t>658.8/343</t>
  </si>
  <si>
    <t>Consumer satisfaction.</t>
  </si>
  <si>
    <t>Handbook of Research on Creating Sustainable Value in the Global Economy</t>
  </si>
  <si>
    <t>HC79.E5 R4185</t>
  </si>
  <si>
    <t>New Lives of the Saints : Twelve Environmental Apostles</t>
  </si>
  <si>
    <t>Science: Biology/Natural History; Environmental Studies</t>
  </si>
  <si>
    <t>Maritime Transport and Regional Sustainability</t>
  </si>
  <si>
    <t>Ng, Adolf K. Y.;Monios, Jason;Jiang, Changmin</t>
  </si>
  <si>
    <t>K3591.2 .M375 2020</t>
  </si>
  <si>
    <t>Shipping-Environmental aspects.</t>
  </si>
  <si>
    <t>Sustaining and Enhancing the Scholarly Communications Department: a Comprehensive Guide</t>
  </si>
  <si>
    <t>Helge, Kris S.;Tmava, Ahmet Meti;Zerangue, Amanda R.</t>
  </si>
  <si>
    <t>AZ195 .H454 2020</t>
  </si>
  <si>
    <t>Communication in learning and scholarship-Technological innovations.</t>
  </si>
  <si>
    <t>The Role of Ecosystem Services in Sustainable Food Systems</t>
  </si>
  <si>
    <t>Rusinamhodzi, Leonard</t>
  </si>
  <si>
    <t>HD9000.5 .R654 2020</t>
  </si>
  <si>
    <t>Biotechnology in the Chemical Industry : Towards a Green and Sustainable Future</t>
  </si>
  <si>
    <t>Bajpai, Pratima</t>
  </si>
  <si>
    <t>TP248.2 .B357 2020</t>
  </si>
  <si>
    <t>Refining Biomass Residues for Sustainable Energy and Bioproducts : Technology, Advances, Life Cycle Assessment, and Economics</t>
  </si>
  <si>
    <t>Kumar, R. Praveen;Gnansounou, Edgard;Raman, Jegannathan Kenthorai;Gurunathan, Baskar</t>
  </si>
  <si>
    <t>TP339 .R445 2020</t>
  </si>
  <si>
    <t>Sustainable Marine Resource Utilization in China : A Comprehensive Evaluation</t>
  </si>
  <si>
    <t>Song, Malin;Pan, Xiongfeng;Pan, Xianyou</t>
  </si>
  <si>
    <t>GC1023.7 .S664 2020</t>
  </si>
  <si>
    <t>Marine resources development-China.</t>
  </si>
  <si>
    <t>A Research Agenda for Climate Justice</t>
  </si>
  <si>
    <t>Harris, Paul G.</t>
  </si>
  <si>
    <t>Capitalism in Transformation : Movements and Countermovements in the 21st Century</t>
  </si>
  <si>
    <t>Atzmüller, Roland;Aulenbacher, Brigitte;Brand, Ulrich</t>
  </si>
  <si>
    <t>Governing Marine Living Resources in the Polar Regions</t>
  </si>
  <si>
    <t>New Horizons in Environmental and Energy Law Ser.</t>
  </si>
  <si>
    <t>Liu, Nengye;Brooks, Cassandra M.;Qin, Tianbao</t>
  </si>
  <si>
    <t>Plant Factory : An Indoor Vertical Farming System for Efficient Quality Food Production</t>
  </si>
  <si>
    <t>Kozai, Toyoki;Niu, Genhua;Takagaki, Michiko</t>
  </si>
  <si>
    <t>SB126 .P536 2020</t>
  </si>
  <si>
    <t>Artificial light gardening.</t>
  </si>
  <si>
    <t>Advanced Engineering Forum Vol. 34</t>
  </si>
  <si>
    <t>Demian, Mihai;Nicolicescu, Claudiu</t>
  </si>
  <si>
    <t>Sustainable Infrastructure : Breakthroughs in Research and Practice</t>
  </si>
  <si>
    <t>HT166 .S953</t>
  </si>
  <si>
    <t>Energy for Sustainable Development : Demand, Supply, Conversion and Management</t>
  </si>
  <si>
    <t>Hasanuzzaman;Abd Rahim, Nasrudin</t>
  </si>
  <si>
    <t>Environmental Studies; Engineering; Economics; Engineering: Environmental</t>
  </si>
  <si>
    <t>TD195.E49 .E547 2020</t>
  </si>
  <si>
    <t>Power resources-Environmental aspects.</t>
  </si>
  <si>
    <t>Intelligent Systems in Buildings : Traditional Courtyard Houses in Baghdad As a Case Study</t>
  </si>
  <si>
    <t>Agha, Rand H. M.</t>
  </si>
  <si>
    <t>TH6012  .A343 2019</t>
  </si>
  <si>
    <t>Intelligent buildings.</t>
  </si>
  <si>
    <t>Advances in Heat Transfer Enhancement : Part III</t>
  </si>
  <si>
    <t>International Journal of Sustainability in Higher Education Ser.</t>
  </si>
  <si>
    <t>Mahian, Omid;Chamkha, Ali</t>
  </si>
  <si>
    <t>Green Sustainable Process for Chemical and Environmental Engineering and Science : Supercritical Carbon Dioxide As Green Solvent</t>
  </si>
  <si>
    <t>Inamuddin;Asiri, Abdullah M.;Isloor, Arun M.;Inamuddin;Asiri, Abdullah M.;Isloor, Arun M.</t>
  </si>
  <si>
    <t>660/.29482</t>
  </si>
  <si>
    <t>Soil Degradation, Restoration and Management in a Global Change Context</t>
  </si>
  <si>
    <t>Pereira, Paulo</t>
  </si>
  <si>
    <t>S623 .S655 2019</t>
  </si>
  <si>
    <t>Soil degradation.</t>
  </si>
  <si>
    <t>Animal Agriculture : Sustainability, Challenges and Innovations</t>
  </si>
  <si>
    <t>Bazer, Fuller W.;Lamb, G. Cliff;Wu, Guoyao</t>
  </si>
  <si>
    <t>S494.5.S86 .A556 2020</t>
  </si>
  <si>
    <t>Solar Cells and Light Management : Materials, Strategies and Sustainability</t>
  </si>
  <si>
    <t>Enrichi, Francesco;Righini, Giancarlo</t>
  </si>
  <si>
    <t>TK2960 .S653 2020</t>
  </si>
  <si>
    <t>Solar cells. ; Photovoltaic power generation.</t>
  </si>
  <si>
    <t>Social, Economic, and Environmental Impacts Between Sustainable Financial Systems and Financial Markets</t>
  </si>
  <si>
    <t>HC79.E5 S5674</t>
  </si>
  <si>
    <t>Sustainable development-Economic aspects.</t>
  </si>
  <si>
    <t>Achieving Peak Sales Performance for Optimal Business Value and Sustainability</t>
  </si>
  <si>
    <t>Brown, Carlton</t>
  </si>
  <si>
    <t>HF5438.25 .B7466</t>
  </si>
  <si>
    <t>Transportation, Land Use, and Environmental Planning</t>
  </si>
  <si>
    <t>Deakin, Elizabeth</t>
  </si>
  <si>
    <t>HE193 .T736 2020</t>
  </si>
  <si>
    <t>Transportation and state.</t>
  </si>
  <si>
    <t>Integral Ecology for a More Sustainable World : Dialogues with Laudato Si'</t>
  </si>
  <si>
    <t>O'Hara, Dennis;Eaton, Matthew;Ross, Michael T.;Camosy, Charles;Br. Consolmagno, Guy;Dalton, Anne Marie;Harvie, Timothy;Haught, John F.;Jacobs, Brianne;Hrynkow, Christopher</t>
  </si>
  <si>
    <t>BX1795.H82 .I584 2020</t>
  </si>
  <si>
    <t>Human ecology-Religious aspects-Catholic Church.</t>
  </si>
  <si>
    <t>Social Impacts of Smart Grids : The Future of Smart Grids and Energy Market Design</t>
  </si>
  <si>
    <t>Strielkowski, Wadim</t>
  </si>
  <si>
    <t>TK3105 .S77 2020</t>
  </si>
  <si>
    <t>Smart power grids.</t>
  </si>
  <si>
    <t>The Microeconomics of Wellbeing and Sustainability : Recasting the Economic Process</t>
  </si>
  <si>
    <t>Becchetti, Leonardo;Bruni, Luigino;Zamagni, Stefano</t>
  </si>
  <si>
    <t>HC79.E5 .B43 2020</t>
  </si>
  <si>
    <t>Sustainable Waste Management Challenges in Developing Countries</t>
  </si>
  <si>
    <t>Pariatamby, Agamuthu;Shahul Hamid, Fauziah;Bhatti, Mehran Sanam</t>
  </si>
  <si>
    <t>TD790 .S87</t>
  </si>
  <si>
    <t>628.4/45091724</t>
  </si>
  <si>
    <t>Sustainability. ; Refuse and refuse disposal-Environmental aspects-Developing countries. ; Developing countries-Environmental conditions.</t>
  </si>
  <si>
    <t>Energy Transformation Towards Sustainability</t>
  </si>
  <si>
    <t>Manuela, Tvaronaviciene;Slusarczyk, Beata</t>
  </si>
  <si>
    <t>TJ808 .E54 2020</t>
  </si>
  <si>
    <t>Green Sustainable Process for Chemical and Environmental Engineering and Science : Ionic Liquids As Green Solvents</t>
  </si>
  <si>
    <t>Inamuddin;Asiri, Abdullah Ahmed;Kanchi, Suvardhan;Inamuddin;Asiri, Abdullah Ahmed;Kanchi, Suvardhan</t>
  </si>
  <si>
    <t>Science; Engineering; Science: Chemistry; Engineering: Chemical</t>
  </si>
  <si>
    <t>TP247.5 .G74 2020</t>
  </si>
  <si>
    <t>Advanced Integrated Approaches to Environmental Economics and Policy: Emerging Research and Opportunities</t>
  </si>
  <si>
    <t>Patti, Sebastiano;Trizzino, Giampiero</t>
  </si>
  <si>
    <t>HC79.E5 A347</t>
  </si>
  <si>
    <t>Environmental economics. ; Economic policy. ; Consumer behavior.</t>
  </si>
  <si>
    <t>Southern Green Criminology : A Science to End Ecological Discrimination</t>
  </si>
  <si>
    <t>Perspectives on Crime, Law and Justice in the Global South Ser.</t>
  </si>
  <si>
    <t>Goyes, David Rodríguez</t>
  </si>
  <si>
    <t>HV6035-6197</t>
  </si>
  <si>
    <t>Perspectives on Dance Fusion in the Caribbean and Dance Sustainability : Rituals of Modern Society</t>
  </si>
  <si>
    <t>Torres, Neri;Cairo, Aminata;Donelly, Laura</t>
  </si>
  <si>
    <t>GV1743 .P477 2019</t>
  </si>
  <si>
    <t>Folk dancing. ; Folk dancing-Caribbean Area.</t>
  </si>
  <si>
    <t>Historical Dictionary of the Chinese Environment</t>
  </si>
  <si>
    <t>Historical Dictionaries of Asia, Oceania, and the Middle East</t>
  </si>
  <si>
    <t>Sullivan, Lawrence R.;Liu-Sullivan, Nancy Y.</t>
  </si>
  <si>
    <t>GE160.C6 .S855 2019</t>
  </si>
  <si>
    <t>Environmental degradation-China-Dictionaries.</t>
  </si>
  <si>
    <t>Should We All Be Vegan? : A Primer for the 21st Century</t>
  </si>
  <si>
    <t>Thames &amp; Hudson, Limited</t>
  </si>
  <si>
    <t>The Big Idea Ser.</t>
  </si>
  <si>
    <t>Watson, Molly</t>
  </si>
  <si>
    <t>Landscape and Infrastructure : Reimagining the Pastoral Paradigm for the Twenty-First Century</t>
  </si>
  <si>
    <t>Vickery, Margaret Birney</t>
  </si>
  <si>
    <t>SB470.5 .V535 2020</t>
  </si>
  <si>
    <t>Landscape architecture-History.</t>
  </si>
  <si>
    <t>International Journal of Social Ecology and Sustainable Development (IJSESD) Volume 10, Issue 4</t>
  </si>
  <si>
    <t>HM861 .C373 2019</t>
  </si>
  <si>
    <t>Barling, David;Fanzo, Jessica</t>
  </si>
  <si>
    <t>HD9000.5 .A383 2019</t>
  </si>
  <si>
    <t>Food security.</t>
  </si>
  <si>
    <t>The Crisis in Global Ethics and the Future of Global Governance : Fulfilling the Promise of the Earth Charter</t>
  </si>
  <si>
    <t>Burdon, Peter;Bosselmann, Klaus;Engel, Kirsten</t>
  </si>
  <si>
    <t>HD75 .C757 2019</t>
  </si>
  <si>
    <t>Economic development-Moral and ethical aspects. ; Environmental ethics. ; Globalization-Moral and ethical aspects. ; Capitalism-Moral and ethical aspects.</t>
  </si>
  <si>
    <t>International Journal of Sustainable Economies Management (IJSEM) Volume 8, Issue 4</t>
  </si>
  <si>
    <t>HC79.E5$b.D876 2019</t>
  </si>
  <si>
    <t>Technological Innovations for Sustainability and Business Growth</t>
  </si>
  <si>
    <t>Jain, Geetika;Singh, Harjit;Akter, Shahriar;Munjal, Alka;Grewal, Harpal S.</t>
  </si>
  <si>
    <t>HC59.72.E5 H35</t>
  </si>
  <si>
    <t>338.9/27091724</t>
  </si>
  <si>
    <t>Sustainable development-Developing countries. ; Technological innovations-Environmental aspects-Developing countries.</t>
  </si>
  <si>
    <t>Exergy Analysis and Thermoeconomics of Buildings : Design and Analysis for Sustainable Energy Systems</t>
  </si>
  <si>
    <t>Sala-Lizarraga, Jose M.;Picallo Perez, Ana</t>
  </si>
  <si>
    <t>TH880 .S253 2020</t>
  </si>
  <si>
    <t>Sustainable buildings-Design and construction. ; Buildings-Environmental engineering. ; Buildings-Energy conservation.</t>
  </si>
  <si>
    <t>Handbook of Research on Interdisciplinary Approaches to Decision Making for Sustainable Supply Chains</t>
  </si>
  <si>
    <t>Awasthi, Anjali;Grzybowska, Katarzyna</t>
  </si>
  <si>
    <t>HD38.5 .I5748</t>
  </si>
  <si>
    <t>SDG16 - Peace and Justice : Challenges, Actions and the Way Forward</t>
  </si>
  <si>
    <t>Radović, Vesela</t>
  </si>
  <si>
    <t>Peace.</t>
  </si>
  <si>
    <t>Oman in the 21st Century: Issues and Challenges</t>
  </si>
  <si>
    <t>Politics and Economics of the Middle East Ser.</t>
  </si>
  <si>
    <t>Hakro, Ahmed Nawaz</t>
  </si>
  <si>
    <t>Big Data Analytics for Sustainable Computing</t>
  </si>
  <si>
    <t>Haldorai, Anandakumar;Ramu, Arulmurugan</t>
  </si>
  <si>
    <t>QA76.9.B45 .H35 2020</t>
  </si>
  <si>
    <t>Big data.</t>
  </si>
  <si>
    <t>Interpreting the Environment at Museums and Historic Sites</t>
  </si>
  <si>
    <t>Interpreting History</t>
  </si>
  <si>
    <t>Reid, Debra A.;Vail, David D.</t>
  </si>
  <si>
    <t>GE95 .I584 2019</t>
  </si>
  <si>
    <t>Environmental sciences-Museums.</t>
  </si>
  <si>
    <t>Sustainable Nanoscale Engineering : From Materials Design to Chemical Processing</t>
  </si>
  <si>
    <t>Szekely, Gyorgy;Livingston, Andrew G.</t>
  </si>
  <si>
    <t>Science; Engineering: General; Science: Physics; Engineering</t>
  </si>
  <si>
    <t>QC176.8.N35 .S878 2020</t>
  </si>
  <si>
    <t>Nanoscience.</t>
  </si>
  <si>
    <t>Ecotoxicology : New Challenges and New Approaches</t>
  </si>
  <si>
    <t>ISTE Press Limited - Elsevier Incorporated</t>
  </si>
  <si>
    <t>Gross, Elisabeth;Garric, Jeanne</t>
  </si>
  <si>
    <t>RA1226 .E268 2019</t>
  </si>
  <si>
    <t>Microbial Endophytes : Prospects for Sustainable Agriculture</t>
  </si>
  <si>
    <t>Kumar, Ajay;Singh, Vipin Kumar</t>
  </si>
  <si>
    <t>QR351 .M537 2020</t>
  </si>
  <si>
    <t>579/.178</t>
  </si>
  <si>
    <t>Endophytes.</t>
  </si>
  <si>
    <t>Energy Sustainability</t>
  </si>
  <si>
    <t>Dincer, Ibrahim;Abu-Rayash, Azzam</t>
  </si>
  <si>
    <t>TJ808 .D563 2020</t>
  </si>
  <si>
    <t>Integrated Energy Systems for Multigeneration</t>
  </si>
  <si>
    <t>Dincer, Ibrahim;Bicer, Yusuf</t>
  </si>
  <si>
    <t>TJ808$b.D563 2020</t>
  </si>
  <si>
    <t>Applied Statistics for Environmental Science with R</t>
  </si>
  <si>
    <t>Al-Karkhi, Abbas F. M.;Alqaraghuli, Wasin A. A.</t>
  </si>
  <si>
    <t>GE45.S73$b.A453 2020</t>
  </si>
  <si>
    <t>Environmental sciences-Statistical methods.</t>
  </si>
  <si>
    <t>Preservation and Place : Historic Preservation by and of LGBTQ Communities in the United States</t>
  </si>
  <si>
    <t>HQ73.3.U6 P74 2019</t>
  </si>
  <si>
    <t>Leave It in the Ground: the Politics of Coal and Climate : The Politics of Coal and Climate</t>
  </si>
  <si>
    <t>Berg, John C.</t>
  </si>
  <si>
    <t>HD954 .B474 2019</t>
  </si>
  <si>
    <t>Coal trade -- Government policy -- United States ; Coal trade -- Environmental aspects. ; Coal mines and mining -- United States. ; Energy policy -- United States.</t>
  </si>
  <si>
    <t>A Research Agenda for Sustainable Tourism</t>
  </si>
  <si>
    <t>McCool, Stephen F.;Bosak, Keith</t>
  </si>
  <si>
    <t>G156.5.S87 .R474 2019</t>
  </si>
  <si>
    <t>Energy Innovation for the Twenty-First Century : Accelerating the Energy Revolution</t>
  </si>
  <si>
    <t>Skea, Jim;van Diemen, Renée;Hannon, Matthew</t>
  </si>
  <si>
    <t>HD9502.A2 .S543 2019</t>
  </si>
  <si>
    <t>Innovative Waste Management Technologies for Sustainable Development</t>
  </si>
  <si>
    <t>Bhat, Rouf Ahmad;Qadri, Humaira;Wani, Khursheed Ahmad;Dar, Gowhar Hamid;Mehmood, Mohammad Aneesul</t>
  </si>
  <si>
    <t>TD785 .I48</t>
  </si>
  <si>
    <t>Refuse and refuse disposal. ; Recycling (Waste, etc.)-Environmental aspects. ; Sustainable engineering. ; Biomass energy.</t>
  </si>
  <si>
    <t>Natural Water Remediation : Chemistry and Technology</t>
  </si>
  <si>
    <t>GB855 .S645 2020</t>
  </si>
  <si>
    <t>Water chemistry. ; Groundwater.</t>
  </si>
  <si>
    <t>Global Approaches to Sustainability Through Learning and Education</t>
  </si>
  <si>
    <t>Al-Sartawi, Abdalmuttaleb M. A. Musleh;Hussainey, Khaled;Azzam;Hamdan, Allam</t>
  </si>
  <si>
    <t>HC79.E5 .G59176</t>
  </si>
  <si>
    <t>Sustainability-Study and teaching. ; Sustainable development-Study and teaching.</t>
  </si>
  <si>
    <t>The Inevitable Solar School : Building the Sustainable Schools of the Future, Today</t>
  </si>
  <si>
    <t>LB3241.2 .H367 2019</t>
  </si>
  <si>
    <t>School buildings-Energy conservation-United States. ; School buildings-Environmental aspects-United States. ; Solar buildings-United States. ; Sustainable buildings-United States.</t>
  </si>
  <si>
    <t>Handbook of Green Economics</t>
  </si>
  <si>
    <t>Acar, Sevil;Yeldan, Erinç;Yeldan, Erinç;Yeldan, Erinç</t>
  </si>
  <si>
    <t>HC79.E5 .H363 2019</t>
  </si>
  <si>
    <t>22nd Symposium on Composites</t>
  </si>
  <si>
    <t>Hausmann, Joachim M.</t>
  </si>
  <si>
    <t>Sustainable Revenue for Museums : A Guide</t>
  </si>
  <si>
    <t>Chmelik, Samantha</t>
  </si>
  <si>
    <t>AM122 .S878 2019</t>
  </si>
  <si>
    <t>Museum finance. ; Museums-Planning. ; Museums-Marketing.</t>
  </si>
  <si>
    <t>Non-Destructive Testing and Condition Monitoring Techniques for Renewable Energy Industrial Assets</t>
  </si>
  <si>
    <t>Papaelias, Mayorkinos;Garcia Marquez, Fausto Pedro;Karyotakis, Alexander</t>
  </si>
  <si>
    <t>HD9502.A2  .N663 2020</t>
  </si>
  <si>
    <t>Energy industries.</t>
  </si>
  <si>
    <t>Management Strategies for Sustainable Cattle Production in Southern Pastures</t>
  </si>
  <si>
    <t>Rouquette, Jr., Monte;Aiken, Glen</t>
  </si>
  <si>
    <t>SB199 .M363 2020</t>
  </si>
  <si>
    <t>Pastures-Management.</t>
  </si>
  <si>
    <t>Biofuels for a More Sustainable Future : Life Cycle Sustainability Assessment and Multi-Criteria Decision Making</t>
  </si>
  <si>
    <t>Ren, Jingzheng;Scipioni, Antonio;Manzardo, Alessandro;Liang, Hanwei;Manzardo, Alessandro;Liang, Hanwei</t>
  </si>
  <si>
    <t>TP339 .B564 2020</t>
  </si>
  <si>
    <t>Encyclopedia of Environmental Health</t>
  </si>
  <si>
    <t>Nriagu, Jerome O.</t>
  </si>
  <si>
    <t>Health; Environmental Studies; Social Science</t>
  </si>
  <si>
    <t>RA565$b.E539 2020</t>
  </si>
  <si>
    <t>Innovation Strategies in Environmental Science</t>
  </si>
  <si>
    <t>GE105 .I566 2020</t>
  </si>
  <si>
    <t>Predicting Future Oceans : Sustainability of Ocean and Human Systems Amidst Global Environmental Change</t>
  </si>
  <si>
    <t>Cheung, William;Ota, Yoshitaka;Cisneros-Montemayor, Andres;Cheung, William Wl;Ota, Yoshitaka;Cisneros-Montemayor, Andres</t>
  </si>
  <si>
    <t>QH541.5.S3 .P743 2019</t>
  </si>
  <si>
    <t>Marine ecology.</t>
  </si>
  <si>
    <t>Sustainability As a Trend for Competitiveness Challenges</t>
  </si>
  <si>
    <t>Ștefănescu, Mihaela</t>
  </si>
  <si>
    <t>HC79.E5 .S844 2019</t>
  </si>
  <si>
    <t>Business, Power and Sustainability in a World of Global Value Chains</t>
  </si>
  <si>
    <t>Ponte, Stefano</t>
  </si>
  <si>
    <t>HC79.E5 .P668 2019</t>
  </si>
  <si>
    <t>Strategic Perspectives on Sustainable Development and Migration Issues in Turkey and Abroad</t>
  </si>
  <si>
    <t>Kanlı, İmam Bakır</t>
  </si>
  <si>
    <t>HC79.E5 .S773 2019</t>
  </si>
  <si>
    <t>Sustainable development-Turkey.</t>
  </si>
  <si>
    <t>Applications in Design and Simulation of Sustainable Chemical Processes</t>
  </si>
  <si>
    <t>Dimian, Alexandre C.;Bildea, Costin S.;Kiss, Anton A.</t>
  </si>
  <si>
    <t>TP155.2.E58 .D565 2019</t>
  </si>
  <si>
    <t>The EU As a Global Regulator for Environmental Protection : A Legitimacy Perspective</t>
  </si>
  <si>
    <t>Hadjiyianni, Ioanna</t>
  </si>
  <si>
    <t>KJE6242 .H335 2019</t>
  </si>
  <si>
    <t>Bioenergy with Carbon Capture and Storage : Using Natural Resources for Sustainable Development</t>
  </si>
  <si>
    <t>Magalhaes Pires, Jose Carlos;Cunha Goncalves, Ana Luisa da</t>
  </si>
  <si>
    <t>SD387.C37 .B564 2019</t>
  </si>
  <si>
    <t>Carbon sequestration. ; Biomass energy-Climatic factors.</t>
  </si>
  <si>
    <t>Planetary Health : Human Health in an Era of Global Environmental Change</t>
  </si>
  <si>
    <t>Cole, Jennifer;Foster, Alex;Farlow, Andrew;Bartlett, Harriet;Zywert, Katharine;MSc, Tim Harris</t>
  </si>
  <si>
    <t>RA441 .C654 2019</t>
  </si>
  <si>
    <t>World health.</t>
  </si>
  <si>
    <t>Sustainable Business : Concepts, Methodologies, Tools, and Applications</t>
  </si>
  <si>
    <t>HD30.255 .S8787</t>
  </si>
  <si>
    <t>Industrial management-Environmental aspects. ; Corporations-Environmental aspects. ; Social responsibility of business. ; Sustainable development. ; Business ethics.</t>
  </si>
  <si>
    <t>Global Food Politics and Approaches to Sustainable Consumption: Emerging Research and Opportunities</t>
  </si>
  <si>
    <t>Amadi, Luke;Allen, Fidelis</t>
  </si>
  <si>
    <t>TX359 .G567</t>
  </si>
  <si>
    <t>Nutrition policy. ; Food consumption.</t>
  </si>
  <si>
    <t>Ecophysiology of Pesticides : Interface Between Pesticide Chemistry and Plant Physiology</t>
  </si>
  <si>
    <t>Parween, Talat;Jan, Sumira</t>
  </si>
  <si>
    <t>QK717 .P379 2019</t>
  </si>
  <si>
    <t>Plant ecophysiology.</t>
  </si>
  <si>
    <t>The Circular Economy : Case Studies about the Transition from the Linear Economy</t>
  </si>
  <si>
    <t>Copublishing Agreement Ser.</t>
  </si>
  <si>
    <t>Sillanpää, Mika;Ncibi, Chaker</t>
  </si>
  <si>
    <t>HC79.E5 .S555 2019</t>
  </si>
  <si>
    <t>Fundamentals of Site Remediation</t>
  </si>
  <si>
    <t>Pichtel, John</t>
  </si>
  <si>
    <t>Dynamics of Advanced Sustainable Nanomaterials and Their Related Nanocomposites at the Bio-Nano Interface</t>
  </si>
  <si>
    <t>Karak, N.</t>
  </si>
  <si>
    <t>TA418.9.N35 .K373 2019</t>
  </si>
  <si>
    <t>Nanocomposites (Materials)</t>
  </si>
  <si>
    <t>Green Marketing As a Positive Driver Toward Business Sustainability</t>
  </si>
  <si>
    <t>Naidoo, Vannie;Verma, Rahul</t>
  </si>
  <si>
    <t>HF5413 .G7256</t>
  </si>
  <si>
    <t>Green marketing-Case studies.</t>
  </si>
  <si>
    <t>Cases on Green Energy and Sustainable Development</t>
  </si>
  <si>
    <t>Yang, Peter</t>
  </si>
  <si>
    <t>Engineering: Mechanical; Economics; Environmental Studies; Engineering</t>
  </si>
  <si>
    <t>TJ808 .C36</t>
  </si>
  <si>
    <t>Clean energy. ; Renewable energy sources. ; Sustainable development.</t>
  </si>
  <si>
    <t>Sustainability Made Simple : Small Changes for Big Impact</t>
  </si>
  <si>
    <t>Byrd, Rosaly;DeMates, Laurèn</t>
  </si>
  <si>
    <t>Managing Facts and Feelings in Environmental Governance</t>
  </si>
  <si>
    <t>Squintani, Lorenzo;Darpö, Jan;Lavrysen, Luc</t>
  </si>
  <si>
    <t>HC79.E5 .M363 2019</t>
  </si>
  <si>
    <t>Protecting the Third Pole : Transplanting International Law</t>
  </si>
  <si>
    <t>Marsden, Simon</t>
  </si>
  <si>
    <t>Law; Engineering; Engineering: Environmental</t>
  </si>
  <si>
    <t>TD170.2 .M377 2019</t>
  </si>
  <si>
    <t>Environmental protection-International cooperation.</t>
  </si>
  <si>
    <t>Handbook on Green Growth</t>
  </si>
  <si>
    <t>Fouquet, Roger</t>
  </si>
  <si>
    <t>HD75.6 .H363 2019</t>
  </si>
  <si>
    <t>Economic development-Environmental aspects.</t>
  </si>
  <si>
    <t>What Next for Sustainable Development? : Our Common Future at Thirty</t>
  </si>
  <si>
    <t>Meadowcroft, James;Banister, David;Holden, Erling</t>
  </si>
  <si>
    <t>HC79.E5 .W438 2019</t>
  </si>
  <si>
    <t>Sustainable Biofloc Systems for Marine Shrimp</t>
  </si>
  <si>
    <t>Samocha, Tzachi Matzliach</t>
  </si>
  <si>
    <t>SH380.6 .S266 2019</t>
  </si>
  <si>
    <t>639/.68</t>
  </si>
  <si>
    <t>Shrimp culture. ; Shrimp fisheries.</t>
  </si>
  <si>
    <t>Integrating Green and Sustainable Chemistry Principles into Education</t>
  </si>
  <si>
    <t>Dicks, Andrew P.;Bastin, Loyd D.</t>
  </si>
  <si>
    <t>HC79.E5 .I584 2019</t>
  </si>
  <si>
    <t>Sustainable development-SStudy and teaching.</t>
  </si>
  <si>
    <t>25th Concrete Days 2018</t>
  </si>
  <si>
    <t>Solid State Phenomena Ser.</t>
  </si>
  <si>
    <t>Nenadálová, Sárka;Johová, Petra</t>
  </si>
  <si>
    <t>Sustainable Resource Recovery and Zero Waste Approaches</t>
  </si>
  <si>
    <t>Taherzadeh, Mohammad;Bolton, Kim;Wong, Jonathan;Pandey, Ashok</t>
  </si>
  <si>
    <t>TD793.9 .S878 2019</t>
  </si>
  <si>
    <t>Waste minimization. ; Refuse and refuse disposal. ; Recycled products.</t>
  </si>
  <si>
    <t>New and Future Developments in Microbial Biotechnology and Bioengineering : Microbes in Soil, Crop and Environmental Sustainability</t>
  </si>
  <si>
    <t>Singh, Jay Shankar</t>
  </si>
  <si>
    <t>TP248.27.M53 .N49 2019</t>
  </si>
  <si>
    <t>Waste Electrical and Electronic Equipment (WEEE) Handbook</t>
  </si>
  <si>
    <t>Goodship, Vannessa;Stevels, Ab;Huisman, Jaco</t>
  </si>
  <si>
    <t>Engineering: Environmental; Engineering: Electrical; Engineering</t>
  </si>
  <si>
    <t>TD799.85 .W378 2019</t>
  </si>
  <si>
    <t>Electronic waste-Handbooks, manuals, etc.</t>
  </si>
  <si>
    <t>An Island in the Stream : Ecocritical and Literary Responses to Cuban Environmental Culture</t>
  </si>
  <si>
    <t>Ecocritical Theory and Practice</t>
  </si>
  <si>
    <t>Taylor, David;Slovic, Scott,;Soriano, Armando Fernandez;Slovic, Scott,;Taylor, David;Bender, Susan E.;Deming, Alison Hawthorne;Falconer, Blas;Handley, George B.;Espino, Heriberto Feraudy</t>
  </si>
  <si>
    <t>PN98.E36 .I853 2019</t>
  </si>
  <si>
    <t>Planning for the Planet : Environmental Expertise and the International Union for Conservation of Nature and Natural Resources, 1960-1980</t>
  </si>
  <si>
    <t>Schleper, Simone</t>
  </si>
  <si>
    <t>Economics; Science: Biology/Natural History; Environmental Studies; Science</t>
  </si>
  <si>
    <t>QH75 .S257 2019</t>
  </si>
  <si>
    <t>Climate Engineering : A Normative Perspective</t>
  </si>
  <si>
    <t>Callies, Daniel Edward</t>
  </si>
  <si>
    <t>Engineering; Philosophy; Engineering: Environmental</t>
  </si>
  <si>
    <t>TD171.75 .C355 2019</t>
  </si>
  <si>
    <t>Climate change mitigation-Moral and ethical aspects. ; Climate change mitigation-Government policy. ; Stratospheric aerosols. ; Environmental justice.</t>
  </si>
  <si>
    <t>Green Building Management and Smart Automation</t>
  </si>
  <si>
    <t>Solanki, Arun;Nayyar, Anand</t>
  </si>
  <si>
    <t>TH880 .G7436</t>
  </si>
  <si>
    <t>Sustainable buildings. ; Intelligent buildings. ; Buildings-Environmental aspects. ; Building management.</t>
  </si>
  <si>
    <t>Megacities and Rapid Urbanization : Breakthroughs in Research and Practice</t>
  </si>
  <si>
    <t>HT371 .I546 2020</t>
  </si>
  <si>
    <t>Cities and towns-Growth. ; Municipal engineering. ; Urbanization. ; Sustainable urban development.</t>
  </si>
  <si>
    <t>Environmental Activism, Social Media, and Protest in China : Becoming Activists over Wild Public Networks</t>
  </si>
  <si>
    <t>Environmental Communication and Nature: Conflict and Ecoculture in the Anthropocene</t>
  </si>
  <si>
    <t>Brunner, Elizabeth</t>
  </si>
  <si>
    <t>GE199.C6 .B786 2019</t>
  </si>
  <si>
    <t>Environmentalism-China. ; Social media-Political aspects. ; Protest movements-China. ; Political participation-China.</t>
  </si>
  <si>
    <t>Management Accounting Standards for Sustainable Business Practices</t>
  </si>
  <si>
    <t>Oncioiu, Ionica;Cokins, Gary;Căpuşneanu, Sorinel;Topor, Dan Ioan</t>
  </si>
  <si>
    <t>HF5657.4 .M366</t>
  </si>
  <si>
    <t>Untangling Smart Cities : From Utopian Dreams to Innovation Systems for a Technology-Enabled Urban Sustainability</t>
  </si>
  <si>
    <t>Mora, Luca;Deakin, Mark</t>
  </si>
  <si>
    <t>HT153 .M673 2019</t>
  </si>
  <si>
    <t>Cities and towns-Technological innovations.</t>
  </si>
  <si>
    <t>Environmental Nutrition : Connecting Health and Nutrition with Environmentally Sustainable Diets</t>
  </si>
  <si>
    <t>Sabate, Joan</t>
  </si>
  <si>
    <t>RA565 .S233 2019</t>
  </si>
  <si>
    <t>International Journal of Sustainable Entrepreneurship and Corporate Social Responsibility (IJSECSR) Volume 4, Issue 2</t>
  </si>
  <si>
    <t>HC79.E5 .G878 2019</t>
  </si>
  <si>
    <t>Sustainability-Periodicals. ; Social entrepreneurship-Periodicals. ; Social responsibility of business-Periodicals.</t>
  </si>
  <si>
    <t>International Journal of Social Ecology and Sustainable Development (IJSESD) Volume 10, Issue 3</t>
  </si>
  <si>
    <t>International Journal of Sustainable Economies Management (IJSEM) Volume 8, Issue 3</t>
  </si>
  <si>
    <t>HC79.E5$b.I584 2019</t>
  </si>
  <si>
    <t>Hydrology and Water Resources Management in Arid, Semi-Arid, and Tropical Regions</t>
  </si>
  <si>
    <t>Ondieki, Christopher Misati;Kitheka, Johnson Utu</t>
  </si>
  <si>
    <t>Environmental Studies; Engineering: Environmental; Economics; Engineering</t>
  </si>
  <si>
    <t>TD315 .H93</t>
  </si>
  <si>
    <t>Water resources development-Africa. ; Sustainable development-Africa. ; Hydrology-Africa. ; Arid regions-Africa.</t>
  </si>
  <si>
    <t>Intellectual, Scientific, and Educational Influences on Sustainability Research</t>
  </si>
  <si>
    <t>Turvey, Rosario Adapon;Kurissery, Sreekumari</t>
  </si>
  <si>
    <t>HC79.E5 I51784</t>
  </si>
  <si>
    <t>Sustainable development-Research. ; Environmental policy-Research.</t>
  </si>
  <si>
    <t>Transit Oriented Development and Sustainable Cities : Economics, Community and Methods</t>
  </si>
  <si>
    <t>Transport, Mobilities and Spatial Change Ser.</t>
  </si>
  <si>
    <t>Knowles, Richard D.;Ferbrache, Fiona</t>
  </si>
  <si>
    <t>HE305 .T736 2019</t>
  </si>
  <si>
    <t>Urban transportation policy. ; City planning. ; Sustainable development.</t>
  </si>
  <si>
    <t>Handbook of Inclusive Innovation : The Role of Organizations, Markets and Communities in Social Innovation</t>
  </si>
  <si>
    <t>George, Gerard;Baker, Ted;Tracey, Paul</t>
  </si>
  <si>
    <t>HD60 .H363 2019</t>
  </si>
  <si>
    <t>Handbook of Research on Urban and Humanitarian Logistics</t>
  </si>
  <si>
    <t>Gonzalez-Feliu, Jesus;Chong, Mario;Vargas Florez, Jorge;Padilla Solis, Julio</t>
  </si>
  <si>
    <t>HE305 .G669 2019</t>
  </si>
  <si>
    <t>Urban transportation. ; Delivery of goods. ; Emergency management. ; Sustainable urban development.</t>
  </si>
  <si>
    <t>Science and Spirituality for a Sustainable World : Emerging Research and Opportunities</t>
  </si>
  <si>
    <t>Mishra, Deepanjali</t>
  </si>
  <si>
    <t>BL624 .S375</t>
  </si>
  <si>
    <t>Spirituality. ; Religion and science.</t>
  </si>
  <si>
    <t>Role of Plant Growth Promoting Microorganisms in Sustainable Agriculture and Nanotechnology</t>
  </si>
  <si>
    <t>Kumar, Ajay;Singh, Amit Kishore;Choudhary, Krishna Kumar</t>
  </si>
  <si>
    <t>QR41 .R654 2019</t>
  </si>
  <si>
    <t>Microorganisms. ; Sustainable agriculture. ; Nanotechnology.</t>
  </si>
  <si>
    <t>Intergenerational Education for Adolescents Towards Liveable Futures</t>
  </si>
  <si>
    <t>Paige, Kathryn;Lloyd, David;Smith, Richard</t>
  </si>
  <si>
    <t>Education; Environmental Studies</t>
  </si>
  <si>
    <t>L107 .P354 2019</t>
  </si>
  <si>
    <t>Education-Congresses.</t>
  </si>
  <si>
    <t>Thermo-Ecology : Exergy As a Measure of Sustainability</t>
  </si>
  <si>
    <t>Stanek, Wojciech;Gladysz, Pawel;Czarnowska, Lucyna;Simla, Tomasz</t>
  </si>
  <si>
    <t>HC110.E5 .S736 2019</t>
  </si>
  <si>
    <t>Sustainable development-United States. ; Thermodynamics.</t>
  </si>
  <si>
    <t>Transportation, Energy Use and Environmental Impacts</t>
  </si>
  <si>
    <t>D'Agosto, Marcio de Almeida</t>
  </si>
  <si>
    <t>Economics; Engineering; Engineering: Environmental; Environmental Studies</t>
  </si>
  <si>
    <t>TD195.E49 .D346 2019</t>
  </si>
  <si>
    <t>Energy development-Environmental aspects.</t>
  </si>
  <si>
    <t>Trends of Environmental Forensics in Pakistan</t>
  </si>
  <si>
    <t>Iftikhar, Shazia</t>
  </si>
  <si>
    <t>Engineering; Social Science; Engineering: Environmental</t>
  </si>
  <si>
    <t>TD193.4 .T746 2019</t>
  </si>
  <si>
    <t>Environmental forensics-Pakistan. ; Environmental chemistry-Pakistan.</t>
  </si>
  <si>
    <t>Microclimate for Cultural Heritage : Measurement, Risk Assessment, Conservation, Restoration, and Maintenance of Indoor and Outdoor Monuments</t>
  </si>
  <si>
    <t>Camuffo, Dario</t>
  </si>
  <si>
    <t>Science: Physics; Fine Arts; Science</t>
  </si>
  <si>
    <t>QC981.7.M5 .C368 2019</t>
  </si>
  <si>
    <t>Microclimatology. ; Monuments-Conservation and restoration.</t>
  </si>
  <si>
    <t>Creating And Managing Experiences In Cultural Tourism</t>
  </si>
  <si>
    <t>Managing Cultural Tourism: A Sustainability Approach</t>
  </si>
  <si>
    <t>Jelincic, Daniela Angelina;Mansfeld, Yoel</t>
  </si>
  <si>
    <t>G156.5.H47 .C743 2019</t>
  </si>
  <si>
    <t>Advances in Nanosensors for Biological and Environmental Analysis</t>
  </si>
  <si>
    <t>Deep, Aakash;Kumar, Sandeep;Deep, Aakash;Kumar, Sandeep</t>
  </si>
  <si>
    <t>Engineering: Civil; Engineering: Manufacturing; Engineering</t>
  </si>
  <si>
    <t>TA418.9.N35 .A383 2019</t>
  </si>
  <si>
    <t>Nanostructured materials-Analysis.</t>
  </si>
  <si>
    <t>Integrated Approaches to Sustainable Watershed Management in Xeric Environments : A Training Manual</t>
  </si>
  <si>
    <t>Reddy, V. Ratna;Syme, Geoff;Tallapragada, Chiranjeevi</t>
  </si>
  <si>
    <t>Economics; Engineering; Engineering: Civil; Environmental Studies</t>
  </si>
  <si>
    <t>TC409 .R433 2019</t>
  </si>
  <si>
    <t>Watershed management.</t>
  </si>
  <si>
    <t>Retrofitting for Optimal Energy Performance</t>
  </si>
  <si>
    <t>Tantau, Adrian</t>
  </si>
  <si>
    <t>TJ163.5.B84 .T368 2019</t>
  </si>
  <si>
    <t>Buildings-Energy conservation. ; Sustainable construction-Costs. ; Buildings-Repair and reconstruction-Environmental aspects.</t>
  </si>
  <si>
    <t>Tracking the Highland Tiger : In Search of Scottish Wildcats</t>
  </si>
  <si>
    <t>Bloomsbury Natural History</t>
  </si>
  <si>
    <t>Taylor, Marianne</t>
  </si>
  <si>
    <t>QL737.C23 .T395 2019</t>
  </si>
  <si>
    <t>European wildcat. ; Wildcat-Scotland.</t>
  </si>
  <si>
    <t>Invest for Good : A Healthier World and a Wealthier You</t>
  </si>
  <si>
    <t>Mobius, Mark;von Hardenberg, Carlos;Konieczny, Greg</t>
  </si>
  <si>
    <t>HG4515.13 .M635 2019</t>
  </si>
  <si>
    <t>Investments-Moral and ethical aspects.</t>
  </si>
  <si>
    <t>The Solar Corridor Crop System : Implementation and Impacts</t>
  </si>
  <si>
    <t>Deichman, C. LeRoy;Kremer, Robert J.</t>
  </si>
  <si>
    <t>SB112.5 .S653 2019</t>
  </si>
  <si>
    <t>Crops-Growth.</t>
  </si>
  <si>
    <t>Biodiversity of Pantepui : The Pristine Lost World of the Neotropical Guiana Highlands</t>
  </si>
  <si>
    <t>Rull, Valentí;Vegas-Vilarrúbia, Teresa;Huber, Otto;Señaris, Celsa</t>
  </si>
  <si>
    <t>QH541.15.B56 .B563 2019</t>
  </si>
  <si>
    <t>Biodiversity. ; Biodiversity-Guiana Highlands.</t>
  </si>
  <si>
    <t>Sustainable Power Generation : Current Status, Future Challenges, and Perspectives</t>
  </si>
  <si>
    <t>Belyakov, Nikolay</t>
  </si>
  <si>
    <t>TJ808 .B459 2019</t>
  </si>
  <si>
    <t>The Extended Energy-Growth Nexus : Theory and Empirical Applications</t>
  </si>
  <si>
    <t>Fuinhas, Jose Alberto;Marques, António Cardoso</t>
  </si>
  <si>
    <t>HD9502.A2 .E984 2019</t>
  </si>
  <si>
    <t>Energy consumption-Economic aspects.</t>
  </si>
  <si>
    <t>Sustainable Tourism in Asia : People and Places</t>
  </si>
  <si>
    <t>Marafa, Lawal Mohammed;Chan, Chung-Shing</t>
  </si>
  <si>
    <t>G156.5.S87 .S878 2019</t>
  </si>
  <si>
    <t>Sustainable Food Supply Chains : Planning, Design, and Control Through Interdisciplinary Methodologies</t>
  </si>
  <si>
    <t>Accorsi, Riccardo;Manzini, Riccardo</t>
  </si>
  <si>
    <t>HD9000.5 .S878 2019</t>
  </si>
  <si>
    <t>Advanced Biofuels : Applications, Technologies and Environmental Sustainability</t>
  </si>
  <si>
    <t>Azad, Abul Kalam;Rasul, Mohammad</t>
  </si>
  <si>
    <t>TP339 .A383 2019</t>
  </si>
  <si>
    <t>Metal-Organic Frameworks (MOFs) for Environmental Applications</t>
  </si>
  <si>
    <t>Ghosh, Sujit K.</t>
  </si>
  <si>
    <t>QD882 .M483 2019</t>
  </si>
  <si>
    <t>547/.0504426</t>
  </si>
  <si>
    <t>Supramolecular organometallic chemistry.</t>
  </si>
  <si>
    <t>Food and Sustainability in the Twenty-First Century : Cross-Disciplinary Perspectives</t>
  </si>
  <si>
    <t>Anthropology of Food and Nutrition Ser.</t>
  </si>
  <si>
    <t>Collinson, Paul;Young, Iain;Antal, Lucy;Macbeth, Helen</t>
  </si>
  <si>
    <t>GN407 .F656 2019</t>
  </si>
  <si>
    <t>Saving Food : Production, Supply Chain, Food Waste and Food Consumption</t>
  </si>
  <si>
    <t>Business/Management; Health; Economics</t>
  </si>
  <si>
    <t>TX357 .S285 2019</t>
  </si>
  <si>
    <t>Food conservation.</t>
  </si>
  <si>
    <t>Smart, Sustainable and Inclusive Growth : Political Entrepreneurship for a Prosperous Europe</t>
  </si>
  <si>
    <t>New Horizons in Regional Science Ser.</t>
  </si>
  <si>
    <t>Karlsson, Charlie;Silander, Daniel;Pircher, Brigitte</t>
  </si>
  <si>
    <t>Animal Welfare and International Environmental Law : From Conservation to Compassion</t>
  </si>
  <si>
    <t>Scholtz, Werner</t>
  </si>
  <si>
    <t>Sustainable Bioenergy : Advances and Impacts</t>
  </si>
  <si>
    <t>Rai, Mahendra;Ingle, Avinash P.</t>
  </si>
  <si>
    <t>TP339 .S878 2019</t>
  </si>
  <si>
    <t>Proteins: Sustainable Source, Processing and Applications</t>
  </si>
  <si>
    <t>Science; Science: Chemistry; Science: Biology/Natural History</t>
  </si>
  <si>
    <t>QP551 .P768 2019</t>
  </si>
  <si>
    <t>Proteins.</t>
  </si>
  <si>
    <t>The Environmental Case for Brexit : A Socio-Legal Perspective</t>
  </si>
  <si>
    <t>Pontin, Ben</t>
  </si>
  <si>
    <t>Green Behavior and Corporate Social Responsibility in Asia</t>
  </si>
  <si>
    <t>Quoquab, Farzana;Mohammad, Jihad</t>
  </si>
  <si>
    <t>Social responsibility of business-Asia.</t>
  </si>
  <si>
    <t>Wildlife Conservation in Africa : A Scientific Approach</t>
  </si>
  <si>
    <t>Ajayi, S. S.</t>
  </si>
  <si>
    <t>Environmental Studies; Economics; Science: Zoology; Science</t>
  </si>
  <si>
    <t>QL84.6.A1 .A339 2019</t>
  </si>
  <si>
    <t>Wildlife conservation-Africa.</t>
  </si>
  <si>
    <t>The Entrepreneurial Dilemma in the Life Cycle of the Small Firm : How the Firm and the Entrepreneur Change During the Life Cycle of the Firm, or How They Should Change</t>
  </si>
  <si>
    <t>Masurel, Enno</t>
  </si>
  <si>
    <t>Ganzheitliches Reporting Mit Kennzahlen Im Zeitalter der Digitalen Vernetzung : Ein Fallstudienbegleiteter Ansatz Zur Nachhaltigkeits-Implementierung</t>
  </si>
  <si>
    <t>De Gruyter Studium Ser.</t>
  </si>
  <si>
    <t>Krause, Hans-Ulrich</t>
  </si>
  <si>
    <t>HD30.255 .K738 2019</t>
  </si>
  <si>
    <t>Functional Nanostructured Interfaces for Environmental and Biomedical Applications</t>
  </si>
  <si>
    <t>Dinca, Valentina;Suchea, Mirela</t>
  </si>
  <si>
    <t>TA418.9.N35 .F863 2019</t>
  </si>
  <si>
    <t>Nanostructured materials. ; Biological interfaces.</t>
  </si>
  <si>
    <t>Sustainable Engineering Products and Manufacturing Technologies</t>
  </si>
  <si>
    <t>Kumar, Kaushik;Zindani, Divya;Davim, J. Paulo;Kumar, Kaushik;Zindani, Divya;Davim, J. Paulo</t>
  </si>
  <si>
    <t>Engineering: Manufacturing; Engineering: Civil; Engineering</t>
  </si>
  <si>
    <t>TA170$b.S878 2019</t>
  </si>
  <si>
    <t>The Wellbeing Toolkit : Sustaining, Supporting and Enabling School Staff</t>
  </si>
  <si>
    <t>Bloomsbury Education</t>
  </si>
  <si>
    <t>Cowley, Andrew</t>
  </si>
  <si>
    <t>LB2840 .C695 2019</t>
  </si>
  <si>
    <t>Teachers-Psychology.</t>
  </si>
  <si>
    <t>Sustainable Water and Wastewater Processing</t>
  </si>
  <si>
    <t>Galanakis, Charis M.;Agrafioti, Evita;Galanakis, Charis Michael;Agrafioti, Evita</t>
  </si>
  <si>
    <t>TD430$b.S878 2019</t>
  </si>
  <si>
    <t>Perspectives on Ecocriticism : Local Beginnings, Global Echoes</t>
  </si>
  <si>
    <t>Haag, Ingemar;Molander Danielsson, Karin;Öhman, Marie</t>
  </si>
  <si>
    <t>PN98.E36 .P477 2019</t>
  </si>
  <si>
    <t>Environmental Kuznets Curve (EKC) : A Manual</t>
  </si>
  <si>
    <t>Özcan, Burcu;Öztürk, Ilhan</t>
  </si>
  <si>
    <t>GE140 .E585 2019</t>
  </si>
  <si>
    <t>Environmental degradation-Economic aspects.</t>
  </si>
  <si>
    <t>Energy Efficiency : Concepts and Calculations</t>
  </si>
  <si>
    <t>Martinez, Daniel;Ebenhack, Ben W.;Wagner, Travis</t>
  </si>
  <si>
    <t>Engineering: Mechanical; Environmental Studies; Engineering; Economics</t>
  </si>
  <si>
    <t>TJ163.3$b.M378 2019</t>
  </si>
  <si>
    <t>Climate Change and Agricultural Ecosystems : Current Challenges and Adaptation</t>
  </si>
  <si>
    <t>Choudhary, Krishna Kumar;Kumar, Ajay;Singh, Amit Kishore</t>
  </si>
  <si>
    <t>Science: Physics; Agriculture; Science</t>
  </si>
  <si>
    <t>QC903$b.C556 2019</t>
  </si>
  <si>
    <t>Sustainable Parking Management : Practices, Policies, and Metrics</t>
  </si>
  <si>
    <t>Milosavljevic, Nada;Simicevic, Jelena</t>
  </si>
  <si>
    <t>HE336.P37$b.M556 2019</t>
  </si>
  <si>
    <t>Automobile parking-Planning.</t>
  </si>
  <si>
    <t>Anglophone Literature and Culture in the Anthropocene</t>
  </si>
  <si>
    <t>Comos, Gina;Rosenthal, Caroline</t>
  </si>
  <si>
    <t>A Research Review of Interventions to Increase the Persistence and Resilience of Coral Reefs</t>
  </si>
  <si>
    <t>National Academies of Sciences, Engineering, and Medicine;Division on Earth and Life Studies;Board on Life Sciences;Ocean Studies Board;Committee on Interventions to Increase the Resilience of Coral Reefs</t>
  </si>
  <si>
    <t>333.95/53</t>
  </si>
  <si>
    <t>Driving the Development, Management, and Sustainability of Cognitive Cities</t>
  </si>
  <si>
    <t>Ahuja, Kiran;Khosla, Arun</t>
  </si>
  <si>
    <t>TD159.4 .D75</t>
  </si>
  <si>
    <t>Foreign Business in China and Opportunities for Technological Innovation and Sustainable Economics</t>
  </si>
  <si>
    <t>Visvizi, Anna;Lytras, Miltiadis;Zhang, Xi;Zhao, Jie</t>
  </si>
  <si>
    <t>HD2910 .F67</t>
  </si>
  <si>
    <t>658/.0490951</t>
  </si>
  <si>
    <t>International business enterprises-China. ; Information technology-Economic aspects-China. ; Sustainable development-China.</t>
  </si>
  <si>
    <t>Advanced Multi-Criteria Decision Making for Addressing Complex Sustainability Issues</t>
  </si>
  <si>
    <t>Chatterjee, Prasenjit;Yazdani, Morteza;Chakraborty, Shankar;Panchal, Dilbagh;Bhattacharyya, Siddhartha</t>
  </si>
  <si>
    <t>Economics; Engineering: Civil; Engineering; Business/Management</t>
  </si>
  <si>
    <t>TA170 .A355</t>
  </si>
  <si>
    <t>338.9/27019</t>
  </si>
  <si>
    <t>Sustainable engineering. ; Green products. ; Sustainable development. ; Multiple criteria decision making.</t>
  </si>
  <si>
    <t>Best Practices in Green Supply Chain Management : A Developing Country Perspective</t>
  </si>
  <si>
    <t>Ali, Sadia Samar;Kaur, Rajbir;Marmolejo Saucedo, Jose Antonio</t>
  </si>
  <si>
    <t>HF5761-5780</t>
  </si>
  <si>
    <t>Business logistics-Environmental aspects. ; Industrial management-Environmental aspects.</t>
  </si>
  <si>
    <t>Sustainability in the Anthropocene : Philosophical Essays on Renewable Technologies</t>
  </si>
  <si>
    <t>Postphenomenology and the Philosophy of Technology Ser.</t>
  </si>
  <si>
    <t>Lally, Róisín;Bonfiglioli, Cristina Pontes;Friis, Jan Kyrre Berg;Ihde, Don;Babich, Babette;Glazebrook, Patricia;Belu, Dana S.;Mahoney, Brendan;Wellner, Galit;Bradley, Daniel</t>
  </si>
  <si>
    <t>Amelioration Technology for Soil Sustainability</t>
  </si>
  <si>
    <t>Rathoure, Ashok K.</t>
  </si>
  <si>
    <t>S623 .A53</t>
  </si>
  <si>
    <t>631.4/5</t>
  </si>
  <si>
    <t>Soil conservation. ; Soil management. ; Soil productivity. ; Crops and soils. ; Sustainable agriculture.</t>
  </si>
  <si>
    <t>Ethical and Sustainable Supply Chain Management in a Global Context</t>
  </si>
  <si>
    <t>HC79.E5 E74797</t>
  </si>
  <si>
    <t>Sustainable development. ; Business logistics-Environmental aspects. ; Management-Environmental aspects.</t>
  </si>
  <si>
    <t>Responsible, Sustainable, and Globally Aware Management in the Fourth Industrial Revolution</t>
  </si>
  <si>
    <t>Fields, Ziska;Huesig, Stefan</t>
  </si>
  <si>
    <t>HC79.E5 R474</t>
  </si>
  <si>
    <t>Sustainable development-Technological innovations. ; Social responsibility of business. ; Industrial management-Environmental aspects.</t>
  </si>
  <si>
    <t>Negative Emissions Technologies and Reliable Sequestration : A Research Agenda</t>
  </si>
  <si>
    <t>National Academies of Sciences, Engineering, and Medicine;Division on Earth and Life Studies;Ocean Studies Board;Board on Chemical Sciences and Technology;Board on Earth Sciences and Resources;Board on Agriculture and Natural Resources;Board on Energy and Environmental Systems;Board on Atmospheric Sciences and Climate;Committee on Developing a Research Agenda for Carbon Dioxide Removal and Reliable Sequestration</t>
  </si>
  <si>
    <t>628.5/32</t>
  </si>
  <si>
    <t>International Journal of Social Ecology and Sustainable Development (IJSESD) Volume 10, Issue 2</t>
  </si>
  <si>
    <t>Social ecology-Periodicals. ; Human ecology-Philosophy-Periodicals.</t>
  </si>
  <si>
    <t>The Impact of Overbuilding on People and the Planet</t>
  </si>
  <si>
    <t>Ness, David A.</t>
  </si>
  <si>
    <t>GF75 .N477 2019</t>
  </si>
  <si>
    <t>Nature-Effect of human beings on. ; Human ecology.</t>
  </si>
  <si>
    <t>Examining Energy and the Environment Around the World</t>
  </si>
  <si>
    <t>Global Viewpoints Ser.</t>
  </si>
  <si>
    <t>HD9502.A2 .J643 2019</t>
  </si>
  <si>
    <t>Energy industries-Environmental aspects. ; Energy consumption-Environmental aspects. ; Energy development-Environmental aspects. ; Energy policy-Environmental aspects. ; Environmental management.</t>
  </si>
  <si>
    <t>International Journal of Sustainable Economies Management (IJSEM) Volume 8, Issue 2</t>
  </si>
  <si>
    <t>HC79.E5 .D876 2019</t>
  </si>
  <si>
    <t>Sustainable development-Periodicals. ; Economic development-Periodicals.</t>
  </si>
  <si>
    <t>Research Handbook on Environment and Investment Law</t>
  </si>
  <si>
    <t>Miles, Kate</t>
  </si>
  <si>
    <t>K3585 .R474 2019</t>
  </si>
  <si>
    <t>Handbook on the Sustainable Supply Chain</t>
  </si>
  <si>
    <t>Sarkis, Joseph</t>
  </si>
  <si>
    <t>HD38.5 .H363 2019</t>
  </si>
  <si>
    <t>Business logistics. ; Business logistics-Environmental aspects-Handbooks, manuals, etc.</t>
  </si>
  <si>
    <t>Conserving Biodiversity in Areas Beyond National Jurisdiction</t>
  </si>
  <si>
    <t>Freestone, David</t>
  </si>
  <si>
    <t>K3488 .C667 2019</t>
  </si>
  <si>
    <t>Marine biodiversity conservation-Law and legislation.</t>
  </si>
  <si>
    <t>Bioeconomical Solutions and Investments in Sustainable City Development</t>
  </si>
  <si>
    <t>Vargas-Hernández, José G.;Zdunek-Wielgołaska, Justyna Anna;Zdunek-Wielgołaska, Justyna Anna</t>
  </si>
  <si>
    <t>QH541.5.C6 B54</t>
  </si>
  <si>
    <t>Urban ecology (Biology) ; City planning-Environmental aspects. ; Sustainable urban development.</t>
  </si>
  <si>
    <t>The Smart City Transformations : The Revolution of the 21st Century</t>
  </si>
  <si>
    <t>Satyam, Amitabh;Calzada, Igor</t>
  </si>
  <si>
    <t>HT166 .S289 2017</t>
  </si>
  <si>
    <t>City planning. ; Urban renewal. ; Sustainable development.</t>
  </si>
  <si>
    <t>Climate Adaptation Engineering : Risks and Economics for Infrastructure Decision-Making</t>
  </si>
  <si>
    <t>Bastidas-Arteaga, Emilio;Stewart, Mark G.</t>
  </si>
  <si>
    <t>TA170 .C556 2019</t>
  </si>
  <si>
    <t>New and Future Developments in Microbial Biotechnology and Bioengineering : Microbial Biotechnology in Agro-Environmental Sustainability</t>
  </si>
  <si>
    <t>Singh, Jay Shankar;Singh, D. P.</t>
  </si>
  <si>
    <t>S494.5.B563 .M537 2019</t>
  </si>
  <si>
    <t>Agricultural biotechnology. ; Biotechnological microorganisms.</t>
  </si>
  <si>
    <t>Strategic Planning for the Sustainable Production of Biofuels</t>
  </si>
  <si>
    <t>Ponce-Ortega, José Maria;Santibañez-Aguilar, José Ezequiel</t>
  </si>
  <si>
    <t>Business/Management; Engineering: Chemical; Engineering</t>
  </si>
  <si>
    <t>HD9502.5.B542  .E947 2019</t>
  </si>
  <si>
    <t>Biomass energy-Economic aspects.</t>
  </si>
  <si>
    <t>Bioinspired Chemistry: From Enzymes To Synthetic Models</t>
  </si>
  <si>
    <t>Reglier, Marius;Balaban, Teodor Silviu;Balaban, Carmen</t>
  </si>
  <si>
    <t>TP155.2.E58 B567 2019</t>
  </si>
  <si>
    <t>660.6/3</t>
  </si>
  <si>
    <t>Green chemistry. ; Bioorganic chemistry.</t>
  </si>
  <si>
    <t>Fishing Through the Apocalypse : An Angler's Adventures in the 21st Century</t>
  </si>
  <si>
    <t>Miller, Matthew L.</t>
  </si>
  <si>
    <t>SH463 .M555 2019</t>
  </si>
  <si>
    <t>Fishes-Conservation-United States. ; Fishing-United States.</t>
  </si>
  <si>
    <t>Customer Innovation : Delivering a Customer-Led Strategy for Sustainable Growth</t>
  </si>
  <si>
    <t>Debruyne, Marion;Tackx, Koen</t>
  </si>
  <si>
    <t>HF5415.5 .D437 2019</t>
  </si>
  <si>
    <t>Customer relations. ; Customer services. ; Strategic planning.</t>
  </si>
  <si>
    <t>12th Envibuild - Buildings and Environment - from Research to Application</t>
  </si>
  <si>
    <t>Pont, Ulrich;Schuss, Matthias;Mahdavi, Ardeshir</t>
  </si>
  <si>
    <t>Gender and Food : A Critical Look at the Food System</t>
  </si>
  <si>
    <t>Gender Lens</t>
  </si>
  <si>
    <t>Koch, Shelley L.</t>
  </si>
  <si>
    <t>GT2850 .K634 2019</t>
  </si>
  <si>
    <t>Food-Social aspects. ; Food-Sex differences. ; Sexual division of labor.</t>
  </si>
  <si>
    <t>Gaseous Carbon Waste Streams Utilization : Status and Research Needs</t>
  </si>
  <si>
    <t>National Academies of Sciences, Engineering, and Medicine;Division on Earth and Life Studies;Board on Chemical Sciences and Technology;Committee on Developing a Research Agenda for Utilization of Gaseous Carbon Waste Streams</t>
  </si>
  <si>
    <t>Engineering: Environmental; Environmental Studies; Science: Geology</t>
  </si>
  <si>
    <t>Building a Sustainable Transportation Infrastructure for Long-Term Economic Growth</t>
  </si>
  <si>
    <t>Smirnova, Olga V.</t>
  </si>
  <si>
    <t>HE203 .B85</t>
  </si>
  <si>
    <t>Transportation-United States-Planning. ; Transportation-United States-Finance. ; City planning-United States. ; Sustainable development-United States.</t>
  </si>
  <si>
    <t>Green Public Procurement Strategies for Environmental Sustainability</t>
  </si>
  <si>
    <t>Shakya, Rajesh Kumar</t>
  </si>
  <si>
    <t>JF1525.P85 .S535 2019</t>
  </si>
  <si>
    <t>352.5/3</t>
  </si>
  <si>
    <t>Government purchasing-Environmental aspects. ; Environmentalism.</t>
  </si>
  <si>
    <t>Global Perspectives on Sustainable Fashion</t>
  </si>
  <si>
    <t>Gwilt, Alison;Payne, Alice;Ruthschilling, Evelise Anicet</t>
  </si>
  <si>
    <t>TT497 .G563 2019</t>
  </si>
  <si>
    <t>Clothing trade-Environmental aspects. ; Clothing trade-Moral and ethical aspects. ; Fashion-Environmental aspects.</t>
  </si>
  <si>
    <t>Consumer, Prosumer, Prosumager : How Service Innovations Will Disrupt the Utility Business Model</t>
  </si>
  <si>
    <t>Sioshansi, Fereidoon;Sioshansi, Fereidoon P.</t>
  </si>
  <si>
    <t>HD9502.A2 .S567 2019</t>
  </si>
  <si>
    <t>Energy industries-Environmental aspects.</t>
  </si>
  <si>
    <t>An Introduction to Green Nanotechnology</t>
  </si>
  <si>
    <t>Nasrollahzadeh, Mahmoud;Sajadi, Mohammad S.;Atarod, Monireh;Sajjadi, Mohaddeseh;Isaabadi, Zahra;Nasrollahzadeh, Mahmoud;Sajadi, Mohammad S.;Atarod, Monireh;Sajjadi, Mohaddeseh;Isaabadi, Zahra</t>
  </si>
  <si>
    <t>T174.7 .N377 2019</t>
  </si>
  <si>
    <t>Nanotechnology. ; Sustainable engineering.</t>
  </si>
  <si>
    <t>Sustainable Consumption, Promise or Myth? Case Studies from the Field</t>
  </si>
  <si>
    <t>Boucher, Jean Léon;Heinonen, Jukka</t>
  </si>
  <si>
    <t>HC79.E5 .S878 2019</t>
  </si>
  <si>
    <t>Environmental Sociology : From Analysis to Action</t>
  </si>
  <si>
    <t>King, Leslie;McCarthy Auriffeille, Deborah</t>
  </si>
  <si>
    <t>GE195 .E585 2020</t>
  </si>
  <si>
    <t>Environmental sociology. ; Environmental justice. ; Environmentalism-North America.</t>
  </si>
  <si>
    <t>Cases on Corporate Social Responsibility and Contemporary Issues in Organizations</t>
  </si>
  <si>
    <t>Antonaras, Alexandros;Dekoulou, Paraskevi</t>
  </si>
  <si>
    <t>Social responsibility of business. ; Corporate governance. ; Sustainable development.</t>
  </si>
  <si>
    <t>Horizons in Sustainable Industrial Chemistry and Catalysis</t>
  </si>
  <si>
    <t>Albonetti, Stefania;Perathoner, Siglinda;Quadrelli, Elsje Alessandra</t>
  </si>
  <si>
    <t>TP145 .H675 2019</t>
  </si>
  <si>
    <t>Chemistry, Technical.</t>
  </si>
  <si>
    <t>Cascading Challenges in the Global Water Crisis</t>
  </si>
  <si>
    <t>TD345 .C373 2019</t>
  </si>
  <si>
    <t>Water-supply.</t>
  </si>
  <si>
    <t>The Environmental Crisis and Art : Thoughtlessness, Responsibility, and Imagination</t>
  </si>
  <si>
    <t>Räpple, Eva Maria</t>
  </si>
  <si>
    <t>BH301.N3 .R775 2019</t>
  </si>
  <si>
    <t>Nature (Aesthetics) ; Climatic changes. ; Human ecology.</t>
  </si>
  <si>
    <t>Humane Capital : How to Create a Management Shift to Transform Performance and Profit</t>
  </si>
  <si>
    <t>Hlupic, Vlatka</t>
  </si>
  <si>
    <t>HD58.8 .H587 2019</t>
  </si>
  <si>
    <t>Organizational change. ; Organizational behavior. ; Management. ; Corporate culture.</t>
  </si>
  <si>
    <t>Eco-Art History in East and Southeast Asia</t>
  </si>
  <si>
    <t>Lee, De-Nin D.</t>
  </si>
  <si>
    <t>N7337 .E263 2019</t>
  </si>
  <si>
    <t>Art-East Asia-History. ; Art-Southeast Asia-History. ; Art-Environmental aspects.</t>
  </si>
  <si>
    <t>Global Environmental Governance and Small States : Architectures and Agency in the Caribbean</t>
  </si>
  <si>
    <t>New Horizons in Environmental Politics Ser.</t>
  </si>
  <si>
    <t>Scobie, Michelle</t>
  </si>
  <si>
    <t>GE190.C27 .S363 2019</t>
  </si>
  <si>
    <t>Environmental policy-Caribbean Area.</t>
  </si>
  <si>
    <t>Green Finance for Sustainable Global Growth</t>
  </si>
  <si>
    <t>Tsai, Sang-Bing;Shen, Chung-Hua;Song, Hua;Niu, Baozhuang</t>
  </si>
  <si>
    <t>HC79.E5 G68984</t>
  </si>
  <si>
    <t>Sustainable development. ; Finance-Environmental aspects. ; Economic development-Environmental aspects.</t>
  </si>
  <si>
    <t>Sustainable Human Resource Management : Strategies, Practices and Challenges</t>
  </si>
  <si>
    <t>Management, Work and Organisations Ser.</t>
  </si>
  <si>
    <t>Mariappanadar, Sugumar</t>
  </si>
  <si>
    <t>Personnel management.</t>
  </si>
  <si>
    <t>The Circular Economy and Its Implications on Sustainability and the Green Supply Chain</t>
  </si>
  <si>
    <t>HC79.E5 C53</t>
  </si>
  <si>
    <t>Optimizing the Use of Farm Waste and Non-Farm Waste to Increase Productivity and Food Security : Emerging Research and Opportunities</t>
  </si>
  <si>
    <t>Naraine, Leighton</t>
  </si>
  <si>
    <t>S477.A1 N37</t>
  </si>
  <si>
    <t>Sustainable agriculture-Caribbean Area. ; Agricultural wastes-Recycling-Caribbean Area. ; Animal waste-Caribbean Area.</t>
  </si>
  <si>
    <t>Myanmar: Environmental, Political and Social Issues</t>
  </si>
  <si>
    <t>Lesniewski, Filip</t>
  </si>
  <si>
    <t>History; Political Science; Social Science</t>
  </si>
  <si>
    <t>Indus River Basin : Water Security and Sustainability</t>
  </si>
  <si>
    <t>Khan, Sadiq I.;Adams, Thomas E.</t>
  </si>
  <si>
    <t>Business/Management; Environmental Studies; Agriculture; Economics</t>
  </si>
  <si>
    <t>HD1691 .I538 2019</t>
  </si>
  <si>
    <t>Water resources development.</t>
  </si>
  <si>
    <t>Holocaust Escapees and Global Development : Hidden Histories</t>
  </si>
  <si>
    <t>Simon, David</t>
  </si>
  <si>
    <t>HV640.5.J4 .S566 2019</t>
  </si>
  <si>
    <t>Jewish refugees. ; Holocaust survivors. ; World War, 1939-1945-Refugees.</t>
  </si>
  <si>
    <t>Sustainable Construction Technologies : Life-Cycle Assessment</t>
  </si>
  <si>
    <t>Tam, Vivian Y.;Le, Khoa N.</t>
  </si>
  <si>
    <t>TH880 .S878 2019</t>
  </si>
  <si>
    <t>Sustainable construction.</t>
  </si>
  <si>
    <t>Sustainable Construction Materials : Recycled Aggregates</t>
  </si>
  <si>
    <t>Dhir, Ravindra K.;Brito, Jorge de;Silva, Rui V.;Lye, Chao Qun</t>
  </si>
  <si>
    <t>TD196.B85 .D457 2019</t>
  </si>
  <si>
    <t>Building materials-Environmental aspects. ; Building materials-Recycling. ; Sustainable construction.</t>
  </si>
  <si>
    <t>Encyclopedia of Food Security and Sustainability</t>
  </si>
  <si>
    <t>Ferranti, Pasquale;Berry, Elliot;Jock, Anderson;Jock, Anderson</t>
  </si>
  <si>
    <t>Engineering; Business/Management; Economics; Engineering: Environmental</t>
  </si>
  <si>
    <t>TD195.F57$b.E539 2019</t>
  </si>
  <si>
    <t>International Journal of Social Ecology and Sustainable Development (IJSESD) Volume 10, Issue 1</t>
  </si>
  <si>
    <t>International Journal of Sustainable Economies Management (IJSEM) Volume 8, Issue 1</t>
  </si>
  <si>
    <t>Engineering: General; Economics</t>
  </si>
  <si>
    <t>International Journal of Sustainable Entrepreneurship and Corporate Social Responsibility (IJSECSR) Volume 4, Issue 1</t>
  </si>
  <si>
    <t>Advancing Climate Change Research in West Africa: Trends, Impacts, Vulnerability, Resilience, Adaptation and Sustainability Issues</t>
  </si>
  <si>
    <t>Kokoye, Senakpon E.H.;Yegbemey, Rosaine Ne´rice;Awoye, Oye´monbade´ H. R.</t>
  </si>
  <si>
    <t>International Collaboration, Economic Development, and Sustainability in the Arctic</t>
  </si>
  <si>
    <t>Erokhin, Vasilii;Gao, Tianming;Zhang, Xiuhua</t>
  </si>
  <si>
    <t>HC79.E5 I5313</t>
  </si>
  <si>
    <t>Environmental, Health, and Business Opportunities in the New Meat Alternatives Market</t>
  </si>
  <si>
    <t>Bogueva, Diana;Marinova, Dora;Raphaely, Talia;Schmidinger, Kurt</t>
  </si>
  <si>
    <t>HD9410.5 .E58</t>
  </si>
  <si>
    <t>338.4/76649</t>
  </si>
  <si>
    <t>Meat industry and trade. ; Meat substitutes-Economic aspects.</t>
  </si>
  <si>
    <t>Courts and the Environment</t>
  </si>
  <si>
    <t>Voigt, Christina;Makuch, Zen</t>
  </si>
  <si>
    <t>K3585 .C687 2018</t>
  </si>
  <si>
    <t>Mary Oliver's Grass Roots Poetry</t>
  </si>
  <si>
    <t>Horne, Dee</t>
  </si>
  <si>
    <t>PS3565.L5 Z66 2018</t>
  </si>
  <si>
    <t>Oliver, Mary,-1935-2019-Criticism and interpretation. ; Nature in literature. ; Environmentalism in literature.</t>
  </si>
  <si>
    <t>Justice Unbound : Voices of Justice for the 21st Century</t>
  </si>
  <si>
    <t>Longo, Patrizia</t>
  </si>
  <si>
    <t>JC578 .L664 2019</t>
  </si>
  <si>
    <t>Justice. ; Social justice. ; Environmental justice. ; Transitional justice.</t>
  </si>
  <si>
    <t>Processing and Sustainability of Beverages : Volume 2: the Science of Beverages</t>
  </si>
  <si>
    <t>Grumezescu, Alexandru;Holban, Alina Maria</t>
  </si>
  <si>
    <t>Engineering; Engineering: Chemical; Home Economics</t>
  </si>
  <si>
    <t>TX815 .P763 2019</t>
  </si>
  <si>
    <t>Beverages. ; Beverage industry-Environmental aspects. ; Beverage processing plants-Environmental aspects.</t>
  </si>
  <si>
    <t>Cooling Energy Solutions For Buildings And Cities</t>
  </si>
  <si>
    <t>TJ163.5.B84 C88 2019</t>
  </si>
  <si>
    <t>697.9/3</t>
  </si>
  <si>
    <t>Buildings-Energy conservation. ; Air conditioning-Energy conservation. ; Cities and towns-Energy consumption.</t>
  </si>
  <si>
    <t>Sustainable Tourism: Breakthroughs in Research and Practice</t>
  </si>
  <si>
    <t>G156.5.S87 S878</t>
  </si>
  <si>
    <t>Advances in Eco-Fuels for a Sustainable Environment</t>
  </si>
  <si>
    <t>Azad, Abul Kalam</t>
  </si>
  <si>
    <t>Engineering: Environmental; Engineering: Chemical; Engineering</t>
  </si>
  <si>
    <t>TD195.B56$b.A383 2019</t>
  </si>
  <si>
    <t>Sustainable Food and Agriculture : An Integrated Approach</t>
  </si>
  <si>
    <t>Campanhola, Clayton;Pandey, Shivaji</t>
  </si>
  <si>
    <t>S494.5.S86$b.S878 2019</t>
  </si>
  <si>
    <t>Building Sustainability Through Environmental Education</t>
  </si>
  <si>
    <t>Wilson, Lynn A.;Stevenson, Carolyn N.</t>
  </si>
  <si>
    <t>GE70 .B855 2019</t>
  </si>
  <si>
    <t>Environmental education. ; Sustainable development. ; Water security. ; Climatic changes.</t>
  </si>
  <si>
    <t>Sustainable Urban Mobility Pathways : Policies, Institutions, and Coalitions for Low Carbon Transportation in Emerging Countries</t>
  </si>
  <si>
    <t>Lah, Oliver</t>
  </si>
  <si>
    <t>HE305 .S878 2019</t>
  </si>
  <si>
    <t>Urban transportation-Environmental aspects. ; Urban transportation-Planning. ; Sustainable urban development. ; Urban transportation policy.</t>
  </si>
  <si>
    <t>Phytomanagement of Polluted Sites : Market Opportunities in Sustainable Phytoremediation</t>
  </si>
  <si>
    <t>Pandey, Vimal Chandra;Bauddh, Kuldeep</t>
  </si>
  <si>
    <t>TD192.75$b.P498 2019</t>
  </si>
  <si>
    <t>Cadmium Toxicity and Tolerance in Plants : From Physiology to Remediation</t>
  </si>
  <si>
    <t>Hasanuzzaman, Mirza;Prasad, M. N. V.;Fujita, Masayuki;Hasanuzzaman, Mirza;Prasad, M. N. V.;Fujita, Masayuki</t>
  </si>
  <si>
    <t>Science: Botany; Science; Science: Biology/Natural History</t>
  </si>
  <si>
    <t>QK753.C16$b.C336 2019</t>
  </si>
  <si>
    <t>Non-Fossil Energy Development in China : Goals and Challenges</t>
  </si>
  <si>
    <t>Zhang, Yunzhou</t>
  </si>
  <si>
    <t>Engineering; Economics; Environmental Studies; Engineering: Mechanical</t>
  </si>
  <si>
    <t>TJ807.9.C6 .N664 2019</t>
  </si>
  <si>
    <t>Renewable energy sources-China. ; Energy development-China.</t>
  </si>
  <si>
    <t>Organic Farming : Global Perspectives and Methods</t>
  </si>
  <si>
    <t>Chandran, Sarath;M.R., Unni;Thomas, Sabu</t>
  </si>
  <si>
    <t>S605.5 .O743 2019</t>
  </si>
  <si>
    <t>Organic farming.</t>
  </si>
  <si>
    <t>Tapping the Oceans : Seawater Desalination and the Political Ecology of Water</t>
  </si>
  <si>
    <t>Williams, Joe;Swyngedouw, Erik</t>
  </si>
  <si>
    <t>TD195.W3 .T377 2018</t>
  </si>
  <si>
    <t>Municipal water supply-Political aspects. ; Municipal water supply-Environmental aspects. ; Saline water conversion-Environmental aspects.</t>
  </si>
  <si>
    <t>Green Synthesis, Characterization and Applications of Nanoparticles</t>
  </si>
  <si>
    <t>Shukla, Ashutosh Kumar;Iravani, Siavash</t>
  </si>
  <si>
    <t>Engineering: Chemical; Engineering; Engineering: General</t>
  </si>
  <si>
    <t>TP155.2.E58 .G744 2019</t>
  </si>
  <si>
    <t>Green chemistry. ; Nanoparticles-Environmental aspects.</t>
  </si>
  <si>
    <t>Operations Management in Agriculture</t>
  </si>
  <si>
    <t>Bochtis, Dionysis;Sorensen, Claus Aage Gron;Kateris, Dimitrios</t>
  </si>
  <si>
    <t>S675$b.B634 2019</t>
  </si>
  <si>
    <t>Coastal Management : Global Challenges and Innovations</t>
  </si>
  <si>
    <t>Krishnamurthy, R. R.;Jonathan, M. P.;Srinivasalu, Seshachalam;Glaeser, Bernhard</t>
  </si>
  <si>
    <t>HT395.D44$b.C637 2019</t>
  </si>
  <si>
    <t>New Trends in Eco-Efficient and Recycled Concrete</t>
  </si>
  <si>
    <t>Brito, Jorge de;Agrela, Francisco</t>
  </si>
  <si>
    <t>TA439$b.N498 2019</t>
  </si>
  <si>
    <t>Common Worlds : Paths Toward Sustainable Urbanism</t>
  </si>
  <si>
    <t>Maida, Carl A.</t>
  </si>
  <si>
    <t>HT241 .M353 2019</t>
  </si>
  <si>
    <t>Sustainable urban development. ; Urbanization-Environmental aspects. ; Public spaces.</t>
  </si>
  <si>
    <t>Foundations for Sustainability : A Coherent Framework of Life-Environment Relations</t>
  </si>
  <si>
    <t>Fiscus, Daniel A.;Fath, Brian;Fiscus, Daniel A.;Fath, Brian</t>
  </si>
  <si>
    <t>HC79.E5$b.F573 2019</t>
  </si>
  <si>
    <t>Geomatics and Conservation Biology</t>
  </si>
  <si>
    <t>Science: Biology/Natural History; Economics; Environmental Studies; Science</t>
  </si>
  <si>
    <t>QH75 .G466 2018</t>
  </si>
  <si>
    <t>Conservation biology. ; Surveying. ; Geomatics.</t>
  </si>
  <si>
    <t>Novel Nanomaterials for Biomedical, Environmental and Energy Applications</t>
  </si>
  <si>
    <t>Wang, Xiaoru;Chen, Xi</t>
  </si>
  <si>
    <t>TA418.9.N35 N68 2019</t>
  </si>
  <si>
    <t>Nanostructured materials. ; Nanomedicine. ; Nanostructured materials-Environmental aspects.</t>
  </si>
  <si>
    <t>Nanomaterials for the Removal of Pollutants and Resource Reutilization</t>
  </si>
  <si>
    <t>Luo, Xubiao;Deng, Fang;Pavlostathis, Spyros G.</t>
  </si>
  <si>
    <t>Engineering: Environmental; Engineering: Civil; Engineering</t>
  </si>
  <si>
    <t>TA418.9.N35 N36 2019</t>
  </si>
  <si>
    <t>Nanostructured materials-Environmental aspects. ; Pollutants.</t>
  </si>
  <si>
    <t>Multiple Stressors in River Ecosystems : Status, Impacts and Prospects for the Future</t>
  </si>
  <si>
    <t>Sabater, Sergi;Elosegi, Arturo;Ludwig, Ralf</t>
  </si>
  <si>
    <t>QH541.5.S7 .M858 2019</t>
  </si>
  <si>
    <t>Stream ecology.</t>
  </si>
  <si>
    <t>Thorp and Covich's Freshwater Invertebrates : Volume 3: Keys to Neotropical Hexapoda</t>
  </si>
  <si>
    <t>Hamada, Neusa;Thorp, James H.;Rogers, D. Christopher</t>
  </si>
  <si>
    <t>Science; Science: Biology/Natural History; Science: Zoology</t>
  </si>
  <si>
    <t>QH98 .T467 2018</t>
  </si>
  <si>
    <t>592.17/8809169</t>
  </si>
  <si>
    <t>Freshwater invertebrates-Identification. ; Freshwater invertebrates-Ecology. ; Freshwater invertebrates-North America.</t>
  </si>
  <si>
    <t>Corporate Social Responsibility and Opportunities for Sustainable Financial Success</t>
  </si>
  <si>
    <t>Puaschunder, Julia Margarete</t>
  </si>
  <si>
    <t>HD60 .P813</t>
  </si>
  <si>
    <t>Social responsibility of business. ; Business ethics.</t>
  </si>
  <si>
    <t>Handbook of Research on Green Engineering Techniques for Modern Manufacturing</t>
  </si>
  <si>
    <t>Uthayakumar, M.;Raj, S. Aravind;Ko, Tae Jo;Kumaran, S. Thirumalai;Davim, J. Paulo</t>
  </si>
  <si>
    <t>Engineering: Environmental; Engineering; Business/Management</t>
  </si>
  <si>
    <t>TS155.7 .G725</t>
  </si>
  <si>
    <t>Manufacturing processes-Environmental aspects. ; Green products. ; Sustainable engineering.</t>
  </si>
  <si>
    <t>Handbook of Research on Rural Sociology and Community Mobilization for Sustainable Growth</t>
  </si>
  <si>
    <t>Yasser, Qaiser Rafique</t>
  </si>
  <si>
    <t>HT421 .R847</t>
  </si>
  <si>
    <t>Economics; Business/Management; Health</t>
  </si>
  <si>
    <t>TX601 .A38 2018</t>
  </si>
  <si>
    <t>Food-Storage. ; Food-Preservation. ; Canning and preserving. ; Emergency food supply. ; Survival.</t>
  </si>
  <si>
    <t>Advances in Geophysics</t>
  </si>
  <si>
    <t>Schmelzbach, Cedric;Schmelzbach, Cédric</t>
  </si>
  <si>
    <t>QE501 .A38 2018</t>
  </si>
  <si>
    <t>Geophysics.</t>
  </si>
  <si>
    <t>Climate Preservation in Urban Communities Case Studies</t>
  </si>
  <si>
    <t>Clark, Woodrow, III;Clark, Woodrow, III</t>
  </si>
  <si>
    <t>QC903 .C55 2019</t>
  </si>
  <si>
    <t>Climatic changes. ; Cities and towns.</t>
  </si>
  <si>
    <t>The Ethics of Listening : Creating Space for Sustainable Dialogue</t>
  </si>
  <si>
    <t>Parks, Elizabeth  S.</t>
  </si>
  <si>
    <t>BF323.L5 .P375 2019</t>
  </si>
  <si>
    <t>Listening. ; Dialogue.</t>
  </si>
  <si>
    <t>Globalization, Institutions and Socio-Economic Performance : Macro and Micro Perspectives</t>
  </si>
  <si>
    <t>Yildirim, Ertugrul;Çestepe, Hamza</t>
  </si>
  <si>
    <t>HF1359 .G563 2018</t>
  </si>
  <si>
    <t>Globalization-Economic aspects. ; Performance-Measurement.</t>
  </si>
  <si>
    <t>Rehabilitation of Concrete Structures with Fiber-Reinforced Polymer</t>
  </si>
  <si>
    <t>Al-Mahaidi, Riadh;Kalfat, Robin</t>
  </si>
  <si>
    <t>TA681 .A46 2018</t>
  </si>
  <si>
    <t>Concrete construction. ; Fiber cement.</t>
  </si>
  <si>
    <t>Sustainable Transportation and Smart Logistics : Decision-Making Models and Solutions</t>
  </si>
  <si>
    <t>Faulin, Javier;Grasman, Scott;Juan, Angel;Hirsch, Patrick</t>
  </si>
  <si>
    <t>HE147.65 .S878 2019</t>
  </si>
  <si>
    <t>Transportation-Environmental aspects. ; Logistics.</t>
  </si>
  <si>
    <t>Plastics to Energy : Fuel, Chemicals, and Sustainability Implications</t>
  </si>
  <si>
    <t>Al-Salem, Sultan</t>
  </si>
  <si>
    <t>TP986.A2 .P537 2019</t>
  </si>
  <si>
    <t>Plastics. ; Plastic scrap. ; Refuse and refuse disposal.</t>
  </si>
  <si>
    <t>Advances in Renewable Energy and Sustainable Systems</t>
  </si>
  <si>
    <t>Kale, Sandip A.</t>
  </si>
  <si>
    <t>TJ808 .A383 2018</t>
  </si>
  <si>
    <t>Biochar from Biomass and Waste : Fundamentals and Applications</t>
  </si>
  <si>
    <t>Ok, Yong-Sik;Tsang, Daniel C. W.;Bolan, Nanthi;Novak, Jeffrey M.;Bolan, Nanthi;Novak, Jeffrey M.</t>
  </si>
  <si>
    <t>TP339 .B56 2019</t>
  </si>
  <si>
    <t>Biochar. ; Biomass. ; Biomass energy.</t>
  </si>
  <si>
    <t>Managing Global Warming : An Interface of Technology and Human Issues</t>
  </si>
  <si>
    <t>QC981.8.G56 .M363 2019</t>
  </si>
  <si>
    <t>Global warming. ; Climatic changes. ; Carbon dioxide mitigation.</t>
  </si>
  <si>
    <t>Free-Surface Flow : Computational Methods</t>
  </si>
  <si>
    <t>Katopodes, Nikolaos D.</t>
  </si>
  <si>
    <t>Engineering; Science: Physics; Engineering: Civil; Science</t>
  </si>
  <si>
    <t>TA357.5.D37 .K386 2019</t>
  </si>
  <si>
    <t>Computational fluid dynamics. ; Open-channel flow-Mathematics.</t>
  </si>
  <si>
    <t>Energy from Toxic Organic Waste for Heat and Power Generation</t>
  </si>
  <si>
    <t>Barik, Debabrata</t>
  </si>
  <si>
    <t>TP360 .E547 2019</t>
  </si>
  <si>
    <t>Waste products as fuel. ; Refuse as fuel. ; Hazardous wastes.</t>
  </si>
  <si>
    <t>Sustainability : What It Is and How to Measure It</t>
  </si>
  <si>
    <t>Hedstrom, Gilbert S.</t>
  </si>
  <si>
    <t>HD60 .H437 2018</t>
  </si>
  <si>
    <t>Social responsibility of business. ; Sustainable development. ; Sustainability.</t>
  </si>
  <si>
    <t>Peak Plastic: the Rise or Fall of Our Synthetic World</t>
  </si>
  <si>
    <t>Buffington, Jack</t>
  </si>
  <si>
    <t>TD798 .B844 2019</t>
  </si>
  <si>
    <t>Plastic scrap-Environmental aspects.</t>
  </si>
  <si>
    <t>Reusable and Sustainable Building Materials in Modern Architecture</t>
  </si>
  <si>
    <t>Koç, Gülşah;Christiansen, Bryan;Christiansen, Bryan</t>
  </si>
  <si>
    <t>Engineering: Civil; Engineering: Construction; Engineering</t>
  </si>
  <si>
    <t>TA403.6 .R48</t>
  </si>
  <si>
    <t>691.028/6</t>
  </si>
  <si>
    <t>Building materials-Recycling. ; Building materials-Environmental aspects. ; Sustainable buildings. ; Sustainable architecture-Materials. ; Architecture, Modern-21st century.</t>
  </si>
  <si>
    <t>Sustainable Meat Production and Processing</t>
  </si>
  <si>
    <t>HD9410.5 .S878 2019</t>
  </si>
  <si>
    <t>Meat industry and trade-Environmental aspects.</t>
  </si>
  <si>
    <t>Toxicology in Antiquity : Toxicology in Antiquity Volume I</t>
  </si>
  <si>
    <t>History of Toxicology and Environmental Health Ser.</t>
  </si>
  <si>
    <t>Wexler, Philip</t>
  </si>
  <si>
    <t>Social Science; Health; Science; Science: Biology/Natural History</t>
  </si>
  <si>
    <t>RA1211 .T695 2018</t>
  </si>
  <si>
    <t>Toxicology.</t>
  </si>
  <si>
    <t>Minimizing Energy Consumption, Energy Poverty and Global and Local Climate Change in the Built Environment: Innovating to Zero : Causalities and Impacts in a Zero Concept World</t>
  </si>
  <si>
    <t>Santamouris, Matthaios</t>
  </si>
  <si>
    <t>HD9502.A2 .S268 2019</t>
  </si>
  <si>
    <t>Energy consumption. ; Energy conservation. ; Energy policy.</t>
  </si>
  <si>
    <t>Sediment Dynamics of Chinese Muddy Coasts and Estuaries : Physics, Biology and Their Interactions</t>
  </si>
  <si>
    <t>Wang, Xiao Hua</t>
  </si>
  <si>
    <t>QE571 .S435 2019</t>
  </si>
  <si>
    <t>Sedimentation and deposition-China.</t>
  </si>
  <si>
    <t>Advances in Marine Biology</t>
  </si>
  <si>
    <t>Sheppard, Charles</t>
  </si>
  <si>
    <t>QH91 .A383 2018</t>
  </si>
  <si>
    <t>Dynamic Perspectives on Globalization and Sustainable Business in Asia</t>
  </si>
  <si>
    <t>Ordoñez de Pablos, Patricia</t>
  </si>
  <si>
    <t>HC415.E5 D86</t>
  </si>
  <si>
    <t>338.95/07</t>
  </si>
  <si>
    <t>Sustainable development-Asia. ; Entrepreneurship-Environmental aspects-Asia. ; Globalization-Asia.</t>
  </si>
  <si>
    <t>The Role of Bioenergy in the Emerging Bioeconomy : Resources, Technologies, Sustainability and Policy</t>
  </si>
  <si>
    <t>Lago, Carmen;Caldés, Natalia;Lechón, Yolanda</t>
  </si>
  <si>
    <t>TP339$b.R654 2019</t>
  </si>
  <si>
    <t>Next Generation Biomonitoring: Part 2</t>
  </si>
  <si>
    <t>Bohan, David;Dumbrell, Alex;Woodward, Guy;Jackson, Michelle</t>
  </si>
  <si>
    <t>QH541.15.M64 .A383 2018</t>
  </si>
  <si>
    <t>Environmental monitoring. ; Ecology-Research. ; Ecology.</t>
  </si>
  <si>
    <t>Microbiology of Atypical Environments</t>
  </si>
  <si>
    <t>Trevors, Jack T.;Gurtler, Volker</t>
  </si>
  <si>
    <t>QR41.2 .M537 2018</t>
  </si>
  <si>
    <t>Food Retailing and Sustainable Development : European Perspectives</t>
  </si>
  <si>
    <t>Lavorata, Laure;Sparks, Leigh</t>
  </si>
  <si>
    <t>HF5428-5429.6</t>
  </si>
  <si>
    <t>Food industry and trade-Europe.</t>
  </si>
  <si>
    <t>Handbook of Environmental Economics</t>
  </si>
  <si>
    <t>Dasgupta, Partha;Pattanayak, Subhrendu K.;Smith, Kerry;Dasgupta, Partha;Pattanayak, Subhrendu K.;Smith, Kerry</t>
  </si>
  <si>
    <t>HC79.E5 .H363 2018</t>
  </si>
  <si>
    <t>Environmental economics-Handbooks, manuals, etc.</t>
  </si>
  <si>
    <t>Sub-Seasonal to Seasonal Prediction : The Gap Between Weather and Climate Forecasting</t>
  </si>
  <si>
    <t>Robertson, Andrew;Vitart, Frederic</t>
  </si>
  <si>
    <t>QC995 .S83 2019</t>
  </si>
  <si>
    <t>Weather forecasting.</t>
  </si>
  <si>
    <t>Climate Change and British Wildlife</t>
  </si>
  <si>
    <t>British Wildlife Collection</t>
  </si>
  <si>
    <t>Beebee, Trevor</t>
  </si>
  <si>
    <t>QL50 .B443 2018</t>
  </si>
  <si>
    <t>Animals.</t>
  </si>
  <si>
    <t>Approaches to Water Sensitive Urban Design : Potential, Design, Ecological Health, Urban Greening, Economics, Policies, and Community Perceptions</t>
  </si>
  <si>
    <t>Sharma, Ashok;Gardner, Ted;Begbie, Don</t>
  </si>
  <si>
    <t>TD195.W3 .A677 2019</t>
  </si>
  <si>
    <t>Water resources development-Environmental aspects. ; Urbanization-Environmental aspects.</t>
  </si>
  <si>
    <t>Eldercare, Health, and Ecosyndemics in a Perilous World</t>
  </si>
  <si>
    <t>Environmental Health in a Changing World</t>
  </si>
  <si>
    <t>Christensen, Janelle</t>
  </si>
  <si>
    <t>RA566 .C475 2018</t>
  </si>
  <si>
    <t>Environmental health. ; Older people-Effect of environment on. ; Older people-Care. ; Aging.</t>
  </si>
  <si>
    <t>Tidal Energy Systems : Design, Optimization and Control</t>
  </si>
  <si>
    <t>Khare, Vikas;Khare, Cheshta;Nema, Savita;Baredar, Prashant</t>
  </si>
  <si>
    <t>TC147 .K437 2019</t>
  </si>
  <si>
    <t>Tidal power. ; Tidal power-plants.</t>
  </si>
  <si>
    <t>Is Capitalism Working? : A Primer for the 21st Century</t>
  </si>
  <si>
    <t>Field, Jacob</t>
  </si>
  <si>
    <t>HB501 .F545 2018</t>
  </si>
  <si>
    <t>Capitalism. ; Economic history. ; Economic history-20th century. ; Devoloping countries-Economic conditions.</t>
  </si>
  <si>
    <t>Is Democracy Failing? : A Primer for the 21st Century</t>
  </si>
  <si>
    <t>Dasandi, Niheer</t>
  </si>
  <si>
    <t>JC423 .D373 2018</t>
  </si>
  <si>
    <t>After the Fall : Energy Security, Sustainable Development, and the Environment</t>
  </si>
  <si>
    <t>Loftus, Suzanne;Bagley, Bruce;Moulioukova, Dina;Kassab, Hanna S.;Bagley, Bruce;Fernandes Barbosa, Luis Cláudio;Bryan , Anthony;da Silvaa , José Maria Cardoso;Cala, Andres;Carlsen , Laura</t>
  </si>
  <si>
    <t>HD9560.4 .A384 2018</t>
  </si>
  <si>
    <t>Petroleum products-Prices. ; Energy security. ; Sustainable development.</t>
  </si>
  <si>
    <t>Water Quality Monitoring and Management : Basis, Technology and Case Studies</t>
  </si>
  <si>
    <t>Li, Daoliang;Liu, Shuangyin</t>
  </si>
  <si>
    <t>TD345 .L533 2019</t>
  </si>
  <si>
    <t>Water-supply-Management.</t>
  </si>
  <si>
    <t>Rethinking Sustainable Development in Terms of Justice : Issues of Theory, Law and Governance</t>
  </si>
  <si>
    <t>Pérez, Beatriz Felipe;Márquez, Daniel Iglesias;Hernández, Lorena Martínez</t>
  </si>
  <si>
    <t>K3585 .R484 2018</t>
  </si>
  <si>
    <t>Sustainable development-Law and legislation. ; Environmental justice.</t>
  </si>
  <si>
    <t>Monitoring and Sampling Approaches to Assess Underground Coal Mine Dust Exposures</t>
  </si>
  <si>
    <t>National Academies of Sciences, Engineering, and Medicine;Health and Medicine Division;Division on Earth and Life Studies;Board on Health Sciences Policy;Board on Environmental Studies and Toxicology;Board on Earth Sciences and Resources;Committee on the Study of the Control of Respirable Coal Mine Dust Exposure in Underground Mines</t>
  </si>
  <si>
    <t>Engineering: Mining; Environmental Studies</t>
  </si>
  <si>
    <t>International Journal of Social Ecology and Sustainable Development (IJSESD) Volume 9, Issue 4</t>
  </si>
  <si>
    <t>HM861 .C373 2018</t>
  </si>
  <si>
    <t>International Journal of Sustainable Economies Management (IJSEM) Volume 7, Issue 4</t>
  </si>
  <si>
    <t>HC79.E5 .D876 2018</t>
  </si>
  <si>
    <t>Environmental Geography: People and the Environment</t>
  </si>
  <si>
    <t>Duram, Leslie A.</t>
  </si>
  <si>
    <t>G143 .D873 2018</t>
  </si>
  <si>
    <t>Environmental geography.</t>
  </si>
  <si>
    <t>Biomass, Biofuels, Biochemicals : Microbial Electrochemical Technology: Sustainable Platform for Fuels, Chemicals and Remediation</t>
  </si>
  <si>
    <t>Biomass, Biofuels, Biochemicals Ser.</t>
  </si>
  <si>
    <t>Mohan, S. Venkata;Pandey, Ashok;Varjani, Sunita</t>
  </si>
  <si>
    <t>QP341 .M537 2018</t>
  </si>
  <si>
    <t>Electrophysiology. ; Microorganisms. ; Bioelectrochemistry.</t>
  </si>
  <si>
    <t>A Research Agenda for Global Environmental Politics</t>
  </si>
  <si>
    <t>Dauvergne, Peter;Alger, Justin</t>
  </si>
  <si>
    <t>GE170 .R474 2018</t>
  </si>
  <si>
    <t>363.7/0526</t>
  </si>
  <si>
    <t>Varieties of Green Business : Industries, Nations and Time</t>
  </si>
  <si>
    <t>Jones, Geoffrey</t>
  </si>
  <si>
    <t>HD30.255 .J664 2018</t>
  </si>
  <si>
    <t>Business enterprises-Environmental aspects.</t>
  </si>
  <si>
    <t>Working with Dynamic Crop Models : Methods, Tools and Examples for Agriculture and Environment</t>
  </si>
  <si>
    <t>Wallach, Daniel;Makowski, David;Jones, James W.;Brun, Francois</t>
  </si>
  <si>
    <t>SB112.5 .W355 2019</t>
  </si>
  <si>
    <t>Crop yields-Mathematical models. ; Crops-Growth-Mathematical models.</t>
  </si>
  <si>
    <t>Power up Blended Learning : A Professional Learning Infrastructure to Support Sustainable Change</t>
  </si>
  <si>
    <t>Tucker, Catlin R.</t>
  </si>
  <si>
    <t>LB1028.5 .T835 2019</t>
  </si>
  <si>
    <t>Teachers-In-service training. ; Professional learning communities. ; Blended learning.</t>
  </si>
  <si>
    <t>PGPR Amelioration in Sustainable Agriculture : Food Security and Environmental Management</t>
  </si>
  <si>
    <t>Singh, Amit Kishore;Kumar, Ajay;Singh, Pawan Kumar</t>
  </si>
  <si>
    <t>QR351 .P477 2019</t>
  </si>
  <si>
    <t>Plant growth-promoting rhizobacteria. ; Sustainable agriculture.</t>
  </si>
  <si>
    <t>Green Ports : Inland and Seaside Sustainable Transportation Strategies</t>
  </si>
  <si>
    <t>Bergqvist, Rickard;Monios, Jason</t>
  </si>
  <si>
    <t>TC209 .G744 2019</t>
  </si>
  <si>
    <t>Harbors-Environmental aspects.</t>
  </si>
  <si>
    <t>Trends and Changes in Hydroclimatic Variables : Links to Climate Variability and Change</t>
  </si>
  <si>
    <t>Teegavarapu, Ramesh</t>
  </si>
  <si>
    <t>QC981.8.C5 .T746 2019</t>
  </si>
  <si>
    <t>Standing Rock : Greed, Oil and the Lakota's Struggle for Justice</t>
  </si>
  <si>
    <t>Ekberzade, Bikem</t>
  </si>
  <si>
    <t>E99.T34 .E334 2018</t>
  </si>
  <si>
    <t>978.4004/975244</t>
  </si>
  <si>
    <t>Lakota Indians-North Dakota-Government relations. ; Petroleum pipelines-North Dakota. ; Environmental justice.</t>
  </si>
  <si>
    <t>Pipeline Politics: Assessing the Benefits and Harms of Energy Policy</t>
  </si>
  <si>
    <t>Finkel, Madelon L.</t>
  </si>
  <si>
    <t>HD9580.A2 .F565 2018</t>
  </si>
  <si>
    <t>338.5/5</t>
  </si>
  <si>
    <t>Energy policy. ; Pipelines-Environmental aspects. ; Pipelines-Political aspects.</t>
  </si>
  <si>
    <t>Sustainable Design and Build : Building, Energy, Roads, Bridges, Water and Sewer Systems</t>
  </si>
  <si>
    <t>Hossain, Faruque</t>
  </si>
  <si>
    <t>NA2542.35 .H677 2019</t>
  </si>
  <si>
    <t>Architecture-Environmental aspects.</t>
  </si>
  <si>
    <t>World Seas: an Environmental Evaluation : Volume III: Ecological Issues and Environmental Impacts</t>
  </si>
  <si>
    <t>QH541.5.S3 .W675 2019</t>
  </si>
  <si>
    <t>Marine ecology. ; Ocean-Environmental aspects.</t>
  </si>
  <si>
    <t>Corporate Social Responsibility: Challenges in Diversity, Accountability and Sustainability</t>
  </si>
  <si>
    <t>Management Science - Theory and Applications Ser.</t>
  </si>
  <si>
    <t>Escobar-Pérez, Bernabé</t>
  </si>
  <si>
    <t>HD60 .C677 2018</t>
  </si>
  <si>
    <t>Emerging Applications in Supply Chains for Sustainable Business Development</t>
  </si>
  <si>
    <t>Kumar, M. Vijaya;Putnik, Goran D.;Jayakrishna, K.;Pillai, V. Madhusudanan;Varela, Leonilde</t>
  </si>
  <si>
    <t>HD38.5 .H3557</t>
  </si>
  <si>
    <t>Environmental Impacts of Tourism in Developing Nations</t>
  </si>
  <si>
    <t>Sharma, Ravi;Rao, Prakash</t>
  </si>
  <si>
    <t>G156.5.E26 E583</t>
  </si>
  <si>
    <t>Sustainable Food Waste-To-Energy Systems</t>
  </si>
  <si>
    <t>Trabold, Thomas;Babbitt, Callie W.</t>
  </si>
  <si>
    <t>TD793 .S878 2018</t>
  </si>
  <si>
    <t>Refuse and refuse disposal-Environmental aspects.</t>
  </si>
  <si>
    <t>Beyond Blood Oil : Philosophy, Policy, and the Future</t>
  </si>
  <si>
    <t>Explorations in Contemporary Social-Political Philosophy</t>
  </si>
  <si>
    <t>Wenar, Leif;Blake, Michael;James, Aaron;Kutz, Christopher;Mehdiyeva, Nazrin;Stilz, Anna</t>
  </si>
  <si>
    <t>World Seas: an Environmental Evaluation : Volume II: the Indian Ocean to the Pacific</t>
  </si>
  <si>
    <t>QH541.5.S3 .W675 2018</t>
  </si>
  <si>
    <t>Marine ecosystem health. ; Ocean-Environmental aspects.</t>
  </si>
  <si>
    <t>The Economics and Politics of China's Energy Security Transition</t>
  </si>
  <si>
    <t>Zhao, Hongtu</t>
  </si>
  <si>
    <t>HD9502.C62 .Z436 2019</t>
  </si>
  <si>
    <t>Energy policy-China. ; Energy security-China.</t>
  </si>
  <si>
    <t>Tropical Extremes : Natural Variability and Trends</t>
  </si>
  <si>
    <t>Vuruputur, Venugopal;Sukhatme, Jai;Murtugudde, Raghu;Roca, Rémy</t>
  </si>
  <si>
    <t>KF27.5 .T767 2019</t>
  </si>
  <si>
    <t>Climatic extremes-United States-Forecasting.</t>
  </si>
  <si>
    <t>Tracking Animal Migration with Stable Isotopes</t>
  </si>
  <si>
    <t>Hobson, Keith A.;Wassenaar, Leonard I.</t>
  </si>
  <si>
    <t>QL754 .T733 2019</t>
  </si>
  <si>
    <t>591.56/8</t>
  </si>
  <si>
    <t>Animal migration. ; Stable isotopes in ecological research.</t>
  </si>
  <si>
    <t>Sustainable Water Treatment : Engineering Solutions for a Variable Climate</t>
  </si>
  <si>
    <t>Scholz, Miklas</t>
  </si>
  <si>
    <t>TD430 .S365 2019</t>
  </si>
  <si>
    <t>628.1/62</t>
  </si>
  <si>
    <t>Water-Purification-Purification-Technological innovations.</t>
  </si>
  <si>
    <t>Sustainability models for a better world</t>
  </si>
  <si>
    <t>Koshy, Kanayathu C.</t>
  </si>
  <si>
    <t>HC79.E5 .K674 2018</t>
  </si>
  <si>
    <t>Corporate Social Responsibility : Achtes deutsch-österreichisch-schweizerisches Symposium, Hamburg 1.-2. Juni 2017</t>
  </si>
  <si>
    <t>Beiträge zum ausländischen und internationalen Privatrecht</t>
  </si>
  <si>
    <t>Fleischer, Holger;Kalss, Susanne;Vogt, Hans-Ueli</t>
  </si>
  <si>
    <t>Social responsibility of business-Congresses. ; Corporate culture-Congresses.</t>
  </si>
  <si>
    <t>Bioethanol Production from Food Crops : Sustainable Sources, Interventions, and Challenges</t>
  </si>
  <si>
    <t>Ray, Ramesh C.;S, Ramachandran</t>
  </si>
  <si>
    <t>TP339$b.B564 2019</t>
  </si>
  <si>
    <t>Biodiversity of Fishes in Arunachal Himalaya : Systematics, Classification, and Taxonomic Identification</t>
  </si>
  <si>
    <t>Darshan, Achom;Abujam, Santoshkumar;Das, D. N.</t>
  </si>
  <si>
    <t>QL634.I5$b.D377 2019</t>
  </si>
  <si>
    <t>World Seas: an Environmental Evaluation : Volume I: Europe, the Americas and West Africa</t>
  </si>
  <si>
    <t>QH104 .W675 2019</t>
  </si>
  <si>
    <t>Marine ecology-United States.</t>
  </si>
  <si>
    <t>Transitioning Island Nations into Sustainable Energy Hubs : Emerging Research and Opportunities</t>
  </si>
  <si>
    <t>Spataru, Catalina</t>
  </si>
  <si>
    <t>Engineering; Economics; Engineering: Mechanical; Environmental Studies</t>
  </si>
  <si>
    <t>TJ807.9.I75 S63</t>
  </si>
  <si>
    <t>333.793/209142</t>
  </si>
  <si>
    <t>Edges, Fringes, Frontiers : Integral Ecology, Indigenous Knowledge and Sustainability in Guyana</t>
  </si>
  <si>
    <t>Henfrey, Thomas</t>
  </si>
  <si>
    <t>F2380.1.W3 H46 2018</t>
  </si>
  <si>
    <t>Energy Efficiency in Strategy of Sustainable Production IV</t>
  </si>
  <si>
    <t>Franke, Jörg;Scholz, Michael;Höft, Annika</t>
  </si>
  <si>
    <t>Engineering: General; Engineering: Manufacturing; Engineering</t>
  </si>
  <si>
    <t>Institutional and Organizational Transformations in the Robotic Era: Emerging Research and Opportunities</t>
  </si>
  <si>
    <t>Antonova, Albena</t>
  </si>
  <si>
    <t>HD58.8 .A72878</t>
  </si>
  <si>
    <t>Organizational change. ; Information technology-Social aspects. ; Sustainable development.</t>
  </si>
  <si>
    <t>Burstiness Management for Smart, Sustainable and Inclusive Growth: Emerging Research and Opportunities</t>
  </si>
  <si>
    <t>Ahrens, Andreas;Purvinis, Ojaras;Purvinis, Ojaras;Micevičienė, Diana;Tautkus, Arunas</t>
  </si>
  <si>
    <t>HD58.87 .A37</t>
  </si>
  <si>
    <t>Reengineering (Management) ; Mathematical optimization.</t>
  </si>
  <si>
    <t>Emerging Economic Models for Global Sustainability and Social Development</t>
  </si>
  <si>
    <t>Christiansen, Bryan;Sysoeva, Irina;Udovikina, Alexandra;Ketova, Anna</t>
  </si>
  <si>
    <t>HC79.E5 E475</t>
  </si>
  <si>
    <t>338.9/27011</t>
  </si>
  <si>
    <t>Agrifood Economics and Sustainable Development in Contemporary Society</t>
  </si>
  <si>
    <t>Popescu, Gabriel</t>
  </si>
  <si>
    <t>HD1917 .A395</t>
  </si>
  <si>
    <t>Agriculture-Economic aspects-Europe. ; Sustainable development-Europe. ; Sustainable agriculture-Europe.</t>
  </si>
  <si>
    <t>All or None : Cooperation and Sustainability in Italy's Red Belt</t>
  </si>
  <si>
    <t>Anthropology of Europe Ser.</t>
  </si>
  <si>
    <t>Hall, Alison Sánchez</t>
  </si>
  <si>
    <t>HD1492.I82 2018</t>
  </si>
  <si>
    <t>Urban Energy Transition : Renewable Strategies for Cities and Regions</t>
  </si>
  <si>
    <t>Droege, Peter</t>
  </si>
  <si>
    <t>HD9502.A2 .U733 2018</t>
  </si>
  <si>
    <t>Greenhouse gas mitigation-Government policy. ; Cities and towns-Energy consumption.</t>
  </si>
  <si>
    <t>Reaction Mechanisms in Environmental Engineering : Analysis and Prediction</t>
  </si>
  <si>
    <t>QD502.5 .S645 2018</t>
  </si>
  <si>
    <t>Reaction mechanisms (Chemistry) ; Environmental engineering.</t>
  </si>
  <si>
    <t>Wetland and Stream Rapid Assessments : Development, Validation, and Application</t>
  </si>
  <si>
    <t>Dorney, John;Savage, Rick;Tiner, Ralph W.;Adamus, Paul</t>
  </si>
  <si>
    <t>QH87.3 .W485 2018</t>
  </si>
  <si>
    <t>Wetlands-Research. ; Rivers-Research.</t>
  </si>
  <si>
    <t>Smart Farming Technologies for Sustainable Agricultural Development</t>
  </si>
  <si>
    <t>Poonia, Ramesh C.;Gao, Xiao-Zhi;Raja, Linesh;Sharma, Sugam;Vyas, Sonali</t>
  </si>
  <si>
    <t>S494.5.I5 H362</t>
  </si>
  <si>
    <t>338.1/6</t>
  </si>
  <si>
    <t>Agricultural innovations. ; Agricultural informatics. ; Agricultural productivity.</t>
  </si>
  <si>
    <t>Making America Green and Safe : A History of Sustainable Development and Climate Change</t>
  </si>
  <si>
    <t>Hecht, Alan D.</t>
  </si>
  <si>
    <t>HC79.E5 .M355 2018</t>
  </si>
  <si>
    <t>Sustainable development-Government policy-History. ; Climatic changes-Government policy-History.</t>
  </si>
  <si>
    <t>Impacts of Violent Conflicts on Resource Control and Sustainability</t>
  </si>
  <si>
    <t>Nyam, Esther Akumbo;Tunde, Asiru Hameed</t>
  </si>
  <si>
    <t>Engineering; Economics; Engineering: Environmental; Environmental Studies</t>
  </si>
  <si>
    <t>TD195.W29 I47</t>
  </si>
  <si>
    <t>War-Environmental aspects. ; War-Economic aspects. ; Mass media and war.</t>
  </si>
  <si>
    <t>Nutrients, Wastewater and Leachate: Testing, Risks and Hazards</t>
  </si>
  <si>
    <t>Ahsan, Amimul</t>
  </si>
  <si>
    <t>TD420 .N887 2018</t>
  </si>
  <si>
    <t>Environmental Awareness and the Role of Social Media</t>
  </si>
  <si>
    <t>Narula, Sumit;Rai, Swapnil;Sharma, Archana</t>
  </si>
  <si>
    <t>TD171.7 .E494</t>
  </si>
  <si>
    <t>363.700285/4678</t>
  </si>
  <si>
    <t>Environmental protection-Citizen participation. ; Environmental protection-Public opinion. ; Internet and environmentalism. ; Current awarenes services. ; Disaster relief-Information services.</t>
  </si>
  <si>
    <t>A Regional Geography of the United States and Canada : Toward a Sustainable Future</t>
  </si>
  <si>
    <t>Benton-Short, Lisa;Short, John Rennie;Mayda, Chris</t>
  </si>
  <si>
    <t>E161.3 .M343 2019</t>
  </si>
  <si>
    <t>United States-Geography. ; Canada-Geography. ; Human geography-United States. ; Human geography-Canada. ; Sustainable development-United States. ; Sustainable development-Canada. ; United States-Environmental conditions. ; Canada-Environmental conditions. ; United States-Economic conditions. ; Canada-Economic conditions.</t>
  </si>
  <si>
    <t>Marine Pollution : Sources, Fate and Effects of Pollutants in Coastal Ecosystems</t>
  </si>
  <si>
    <t>Beiras, Ricardo</t>
  </si>
  <si>
    <t>Environmental Studies; Science; Science: Geology</t>
  </si>
  <si>
    <t>GC1085 .B457 2018</t>
  </si>
  <si>
    <t>Marine pollution. ; Marine ecology. ; Coastal ecology.</t>
  </si>
  <si>
    <t>Advanced Treatment Techniques for Industrial Wastewater</t>
  </si>
  <si>
    <t>Hussain, Athar;Ahmed, Sirajuddin</t>
  </si>
  <si>
    <t>TD741 .A5</t>
  </si>
  <si>
    <t>Evaluating Environmental and Social Impact Assessment in Developing Countries</t>
  </si>
  <si>
    <t>Momtaz, Salim;Kabir, Zobaidul</t>
  </si>
  <si>
    <t>TD194.68.B3 .M668 2018</t>
  </si>
  <si>
    <t>Environmental impact analysis-Bangladesh.</t>
  </si>
  <si>
    <t>Smart, Resilient and Transition Cities : Emerging Approaches and Tools for a Climate-Sensitive Urban Development</t>
  </si>
  <si>
    <t>Galderisi, Adriana;Colucci, Angela</t>
  </si>
  <si>
    <t>HT166 .G353 2018</t>
  </si>
  <si>
    <t>City planning-Environmental aspects. ; Sustainable development.</t>
  </si>
  <si>
    <t>Integrated Analytical Approaches for Pesticide Management</t>
  </si>
  <si>
    <t>Maestroni, Britt;Cannavan, Andrew</t>
  </si>
  <si>
    <t>Science: Biology/Natural History; Science; Social Science</t>
  </si>
  <si>
    <t>QH545.P4 .I584 2018</t>
  </si>
  <si>
    <t>Pesticides-Environmental aspects-Measurement.</t>
  </si>
  <si>
    <t>Sustainability of Farming Enterprises in Bulgaria</t>
  </si>
  <si>
    <t>Bachev, Hrabrin</t>
  </si>
  <si>
    <t>Economics; Business/Management; Agriculture</t>
  </si>
  <si>
    <t>S494.5.S86 .B334 2018</t>
  </si>
  <si>
    <t>Sustainable agriculture. ; Sustainable agriculture-Bulgaria.</t>
  </si>
  <si>
    <t>Antonio Tabucchi and the Visual Arts : Images, Visions, and Insights</t>
  </si>
  <si>
    <t>Transcultural Studies - Interdisciplinary Literature and Humanities for Sustainable Societies Ser.</t>
  </si>
  <si>
    <t>Meschini, Michela</t>
  </si>
  <si>
    <t>PQ4880.A24 .M473 2018</t>
  </si>
  <si>
    <t>Tabucchi, Antonio,-1943-2012.</t>
  </si>
  <si>
    <t>The Organisation of the Anthropocene : In Our Hands?</t>
  </si>
  <si>
    <t>Brill Research Perspectives in International Law Ser.</t>
  </si>
  <si>
    <t>Viñuales, Jorge E.</t>
  </si>
  <si>
    <t>JA75.8 .V568 2018</t>
  </si>
  <si>
    <t>Political ecology.</t>
  </si>
  <si>
    <t>Wastewater and Water Contamination : Sources, Assessment and Remediation</t>
  </si>
  <si>
    <t>Holm, Mia D.;Lund, Marcus C.</t>
  </si>
  <si>
    <t>TD420.W327 2018</t>
  </si>
  <si>
    <t>Water-Pollution. ; Sewage.</t>
  </si>
  <si>
    <t>Materials for Sustainable Energy</t>
  </si>
  <si>
    <t>van Eldik, Rudi;Macyk, Wojciech</t>
  </si>
  <si>
    <t>QD553 .M384 2018</t>
  </si>
  <si>
    <t>Electrochemistry. ; Materials. ; Photochemistry.</t>
  </si>
  <si>
    <t>Practice and Progress in Social Design and Sustainability</t>
  </si>
  <si>
    <t>Siu, Kin Wai Michael;Wong, Yin Lin</t>
  </si>
  <si>
    <t>GE196 .P73</t>
  </si>
  <si>
    <t>Design-Social aspects. ; Sustainable living.</t>
  </si>
  <si>
    <t>Energy Efficiency in Air Transportation</t>
  </si>
  <si>
    <t>Benito, Arturo;Alonso, Gustavo</t>
  </si>
  <si>
    <t>Engineering; Engineering: Mechanical; Business/Management</t>
  </si>
  <si>
    <t>TJ163.5.T7 .B465 2018</t>
  </si>
  <si>
    <t>Aeronautics, Commercial-Energy conservation. ; Airplanes-Fuel consumption. ; Aeronautics, Commercial-Environmental aspects.</t>
  </si>
  <si>
    <t>Emerging Water Insecurity in India : Lessons from an Agriculturally Advanced State</t>
  </si>
  <si>
    <t>Ghuman, Ranjit Singh;Sharma, Rajeev</t>
  </si>
  <si>
    <t>TD303.A1 .G486 2018</t>
  </si>
  <si>
    <t>Water-supply-India.</t>
  </si>
  <si>
    <t>International Journal of Social Ecology and Sustainable Development (IJSESD) Volume 9, Issue 3</t>
  </si>
  <si>
    <t>Social ecology. ; Human ecology-Philosophy. ; Sustainable development. ; Environmental policy.</t>
  </si>
  <si>
    <t>International Journal of Sustainable Economies Management (IJSEM) Volume 7, Issue 3</t>
  </si>
  <si>
    <t>International Journal of Sustainable Entrepreneurship and Corporate Social Responsibility (IJSECSR) Volume 3, Issue 2</t>
  </si>
  <si>
    <t>HD60 .G878 2018</t>
  </si>
  <si>
    <t>Social responsibility of business. ; Corporate governance. ; Social entrepreneurship.</t>
  </si>
  <si>
    <t>Research Handbook on Climate Disaster Law : Barriers and Opportunities</t>
  </si>
  <si>
    <t>Lyster, Rosemary;Verchick, Robert R. M.</t>
  </si>
  <si>
    <t>Research Handbook on Employee Pro-Environmental Behaviour</t>
  </si>
  <si>
    <t>Wells, Victoria;Gregory-Smith, Diana;Manika, Danae</t>
  </si>
  <si>
    <t>GE195.7.R46 2018</t>
  </si>
  <si>
    <t>Sustainable Development Goals : Law, Theory and Implementation</t>
  </si>
  <si>
    <t>French, Duncan;Kotzé, Louis J.</t>
  </si>
  <si>
    <t>The History and Theory of Environmental Scenography : Second Edition</t>
  </si>
  <si>
    <t>Performance and Design Ser.</t>
  </si>
  <si>
    <t>Aronson, Arnold;Palmer, Scott;McKinney, Joslin;Di Benedetto, Stephen A.</t>
  </si>
  <si>
    <t>PN2081.E58 .A766 2018</t>
  </si>
  <si>
    <t>Theater, Environmental.</t>
  </si>
  <si>
    <t>Smart Grid Analytics for Sustainability and Urbanization</t>
  </si>
  <si>
    <t>Gontar, Zbigniew H.</t>
  </si>
  <si>
    <t>TK3105 .S4868</t>
  </si>
  <si>
    <t>621.319/2</t>
  </si>
  <si>
    <t>Smart power grids. ; Electric power consumption-Measurement. ; Electric power-Conservation. ; Sustainable urban development.</t>
  </si>
  <si>
    <t>Decarbonizing Logistics : Distributing Goods in a Low Carbon World</t>
  </si>
  <si>
    <t>McKinnon, Alan</t>
  </si>
  <si>
    <t>HD30.255 .M355 2018</t>
  </si>
  <si>
    <t>Business logistics-Environmental aspects. ; Climatic changes. ; Carbon dioxide mitigation-Economic aspects. ; Physical distribution of goods.</t>
  </si>
  <si>
    <t>Marketing Initiatives for Sustainable Educational Development</t>
  </si>
  <si>
    <t>Tripathi, Purnendu;Mukerji, Siran</t>
  </si>
  <si>
    <t>LB1028.35 .M373</t>
  </si>
  <si>
    <t>Educational technology-Social aspects. ; Instructional systems-Design. ; Instructional systems-Social aspects.</t>
  </si>
  <si>
    <t>Waste and Supplementary Cementitious Materials in Concrete : Characterisation, Properties and Applications</t>
  </si>
  <si>
    <t>Siddique, Rafat;Cachim, Paulo</t>
  </si>
  <si>
    <t>TA403.6 .W378 2018</t>
  </si>
  <si>
    <t>Waste products as building materials. ; Sustainable construction. ; Concrete-Recycling.</t>
  </si>
  <si>
    <t>Transforming Climate Finance and Green Investment with Blockchains</t>
  </si>
  <si>
    <t>Marke, Alastair</t>
  </si>
  <si>
    <t>Computer Science/IT; Environmental Studies</t>
  </si>
  <si>
    <t>QA76.9.D32 .T736 2018</t>
  </si>
  <si>
    <t>Blockchains (Databases) ; Environmental economics.</t>
  </si>
  <si>
    <t>Light Rail Transit Systems : 61 Lessons in Sustainable Urban Development</t>
  </si>
  <si>
    <t>Der Bijl, Rob van;Van Oort, Niels;Bukman, Bert</t>
  </si>
  <si>
    <t>HE4211$b.B555 2018</t>
  </si>
  <si>
    <t>Environmental Virology and Virus Ecology</t>
  </si>
  <si>
    <t>Malmstrom, Carolyn</t>
  </si>
  <si>
    <t>QR360 .E585 2018</t>
  </si>
  <si>
    <t>Virology-Research.</t>
  </si>
  <si>
    <t>Furfural: An Entry Point Of Lignocellulose In Biorefineries To Produce Renewable Chemicals, Polymers, And Biofuels</t>
  </si>
  <si>
    <t>Granados, Manuel Lopez;Alonso, David Martin</t>
  </si>
  <si>
    <t>TP680 .F874 2018</t>
  </si>
  <si>
    <t>Furfural. ; Vegetable oils. ; Biomass energy. ; Lignocellulose. ; Agricultural wastes.</t>
  </si>
  <si>
    <t>Maintaining Sustainable Accounting Systems in Small Business</t>
  </si>
  <si>
    <t>Carvalho, Luísa Cagica;Truant, Elisa</t>
  </si>
  <si>
    <t>HF5635 .M225</t>
  </si>
  <si>
    <t>657/.9042</t>
  </si>
  <si>
    <t>Small business-Accounting.</t>
  </si>
  <si>
    <t>Microfinance and Its Impact on Entrepreneurial Development, Sustainability, and Inclusive Growth</t>
  </si>
  <si>
    <t>Das, Ramesh Chandra</t>
  </si>
  <si>
    <t>HG178.33.D44 M5296</t>
  </si>
  <si>
    <t>Microfinance-Developing countries. ; Entrepreneurship-Developing countries. ; Rural development-Developing countries.</t>
  </si>
  <si>
    <t>Climate Change : Alternate Governance Policy for South Asia</t>
  </si>
  <si>
    <t>Mukhopadhyay, Ranadhir;Karisiddaiah, Sm;Mukhopadhyay, Julie</t>
  </si>
  <si>
    <t>QC981.8.C5 .C556 2018</t>
  </si>
  <si>
    <t>Climatic changes. ; Climate change mitigation. ; Environmental policy-South Asia.</t>
  </si>
  <si>
    <t>Performance and Improvement of Green Construction Projects : Management Strategies and Innovations</t>
  </si>
  <si>
    <t>Bon-Gang, Hwang</t>
  </si>
  <si>
    <t>Engineering; Engineering: Construction; Business/Management</t>
  </si>
  <si>
    <t>HD69.P75 .B66 2018</t>
  </si>
  <si>
    <t>Project management. ; Sustainable construction-Performance. ; Sustainable construction-Evaluation.</t>
  </si>
  <si>
    <t>Promoting Global Environmental Sustainability and Cooperation</t>
  </si>
  <si>
    <t>Idris, Sofia</t>
  </si>
  <si>
    <t>HC79.E5 P7265</t>
  </si>
  <si>
    <t>Sustainable development. ; Globalization. ; International cooperation. ; Environmental policy.</t>
  </si>
  <si>
    <t>Managing Sustainable Tourism Resources</t>
  </si>
  <si>
    <t>Batabyal, Debasish</t>
  </si>
  <si>
    <t>G156.5.S87 M36</t>
  </si>
  <si>
    <t>Sustainable tourism. ; Sustainable tourism-Case studies.</t>
  </si>
  <si>
    <t>Sustainable Management of Coal Preparation</t>
  </si>
  <si>
    <t>Kumar, Dilip;Kumar, Deepak</t>
  </si>
  <si>
    <t>TN816 .K863 2018</t>
  </si>
  <si>
    <t>Coal preparation. ; Sustainable development.</t>
  </si>
  <si>
    <t>Without Trumpets : Continuous Educational Improvement, Journey to Sustainability</t>
  </si>
  <si>
    <t>LB2822.82 .A57 2018</t>
  </si>
  <si>
    <t>School improvement programs-United States. ; Public schools-United States. ; Education-Standards-United States. ; Education and state-United States.</t>
  </si>
  <si>
    <t>Electrochemical Water and Wastewater Treatment</t>
  </si>
  <si>
    <t>Martínez-Huitle, Carlos Alberto;Rodrigo, Manuel A.;Scialdone, Onofrio</t>
  </si>
  <si>
    <t>TD430 .M378 2018</t>
  </si>
  <si>
    <t>Water-Purification. ; Sewage-Purification. ; Electrochemistry.</t>
  </si>
  <si>
    <t>Tsunamis : Detection, Risk Assessment and Crisis Management</t>
  </si>
  <si>
    <t>Barberopoulou, Aggeliki</t>
  </si>
  <si>
    <t>GC221.2 .T786 2018</t>
  </si>
  <si>
    <t>363.34/94</t>
  </si>
  <si>
    <t>Tsunamis-Forecasting. ; Tsunamis-Risk assessment. ; Tsunamis-Safety measures. ; Tsunamis-Mathematical models.</t>
  </si>
  <si>
    <t>Waste Electrical and Electronic Equipment Recycling : Aqueous Recovery Methods</t>
  </si>
  <si>
    <t>Vegliò, Francesco;Birloaga, Ionela</t>
  </si>
  <si>
    <t>Engineering; Engineering: Environmental; Engineering: Electrical</t>
  </si>
  <si>
    <t>TD799.85 .W378 2018</t>
  </si>
  <si>
    <t>Electronic waste-Recycling.</t>
  </si>
  <si>
    <t>Rockslides and Rock Avalanches of Central Asia : Distribution, Morphology, and Internal Structure</t>
  </si>
  <si>
    <t>Strom, Alexander;Abdrakhmatov, Kanatbek</t>
  </si>
  <si>
    <t>QE599.C46 .S776 2018</t>
  </si>
  <si>
    <t>551.3/07</t>
  </si>
  <si>
    <t>Landslides-Asia, Central. ; Rockslides-Asia, Central.</t>
  </si>
  <si>
    <t>The Bloomsbury Handbook of Religion and Nature : The Elements</t>
  </si>
  <si>
    <t>Bloomsbury Handbooks in Religion Ser.</t>
  </si>
  <si>
    <t>Hobgood, Laura;Bauman, Whitney</t>
  </si>
  <si>
    <t>BL65.N35 .B56 2018</t>
  </si>
  <si>
    <t>Nature-Religious aspects. ; Four elements (Philosophy)</t>
  </si>
  <si>
    <t>Microplastic Contamination in Aquatic Environments : An Emerging Matter of Environmental Urgency</t>
  </si>
  <si>
    <t>Zeng, Eddy Y.</t>
  </si>
  <si>
    <t>TD345 .M537 2018</t>
  </si>
  <si>
    <t>Fresh water-Environmental aspects. ; Microplastics. ; Water-Pollution. ; Plastic marine debris.</t>
  </si>
  <si>
    <t>Energy Optimization in Process Systems and Fuel Cells</t>
  </si>
  <si>
    <t>Sieniutycz, Stanislaw;Jezowski, Jacek</t>
  </si>
  <si>
    <t>TP155.75 .S546 2018</t>
  </si>
  <si>
    <t>Chemical process control. ; Mathematical optimization. ; Fuel cells.</t>
  </si>
  <si>
    <t>Sustainable Use of Chemicals in Agriculture</t>
  </si>
  <si>
    <t>Capri, Ettore;Alix, Anne</t>
  </si>
  <si>
    <t>S494.5.S86 .A383 2018</t>
  </si>
  <si>
    <t>Sustainable agriculture. ; Agricultural chemicals-Environmental aspects.</t>
  </si>
  <si>
    <t>Tourism, Health, Wellbeing and Protected Areas</t>
  </si>
  <si>
    <t>Azara, Iride;Michopoulou, Eleni;Niccolini, Federico;Taff, B. Derrick;Clarke, Alan</t>
  </si>
  <si>
    <t>G156.5.E58 .T687 2018</t>
  </si>
  <si>
    <t>Tourism-Environmental aspects. ; Ecotourism. ; Tourism-Health aspects.</t>
  </si>
  <si>
    <t>Handbook of Research on Supply Chain Management for Sustainable Development</t>
  </si>
  <si>
    <t>HD38.5 .G7194</t>
  </si>
  <si>
    <t>Resilience : The Science of Adaptation to Climate Change</t>
  </si>
  <si>
    <t>Zommers, Zinta;Alverson, Keith</t>
  </si>
  <si>
    <t>TD171.75.R48 2018</t>
  </si>
  <si>
    <t>Climate change mitigation. ; Climatic changes.</t>
  </si>
  <si>
    <t>Urban Governance and Management in the Developing World</t>
  </si>
  <si>
    <t>Mugambwa, Joshua;Katusiimeh, Mesharch W.</t>
  </si>
  <si>
    <t>JS8500 .M84</t>
  </si>
  <si>
    <t>352.1609172/4</t>
  </si>
  <si>
    <t>Environmental management-Developing countries. ; Environmental policy-Developed countries-Case studies. ; Environmental protection-Developing countries. ; Urbanization-Developing countries-Case studies. ; Urban policy-Developing countries-Case studies. ; Sustainable urban development-Developing countries-Case studies. ; City planning-Developing countries-Case studies. ; Municipal government-Developing countries-Case studies.</t>
  </si>
  <si>
    <t>Integrating Disaster Science and Management : Global Case Studies in Mitigation and Recovery</t>
  </si>
  <si>
    <t>Samui, Pijush;Kim, Dookie;Ghosh, Chandan;Ghosh, Chandan</t>
  </si>
  <si>
    <t>HV551.2$b.I584 2018</t>
  </si>
  <si>
    <t>Sustainable Composites for Aerospace Applications</t>
  </si>
  <si>
    <t>Jawaid, Mohammad;Thariq, Mohamed</t>
  </si>
  <si>
    <t>TL698 .S878 2018</t>
  </si>
  <si>
    <t>Airplanes-Materials. ; Space vehicles-Materials. ; Composite materials.</t>
  </si>
  <si>
    <t>Microbial Cultures and Enzymes in Dairy Technology</t>
  </si>
  <si>
    <t>Medical Information Science Reference</t>
  </si>
  <si>
    <t>Öztürkoğlu Budak, Şebnem;Akal, H. Ceren;Akal, H. Ceren</t>
  </si>
  <si>
    <t>SF250.5</t>
  </si>
  <si>
    <t>Ranunculales Medicinal Plants : Biodiversity, Chemodiversity and Pharmacotherapy</t>
  </si>
  <si>
    <t>Hao, Da-Cheng</t>
  </si>
  <si>
    <t>Agriculture; Pharmacy; Medicine</t>
  </si>
  <si>
    <t>S381 .H36 2018</t>
  </si>
  <si>
    <t>Ranunculus. ; Ranunculales.</t>
  </si>
  <si>
    <t>Emerging Technologies for Sustainable Desalination Handbook</t>
  </si>
  <si>
    <t>Gude, Gnaneswar Gnaneswar</t>
  </si>
  <si>
    <t>TD480 .G834 2018</t>
  </si>
  <si>
    <t>Saline water conversion-Distillation process.</t>
  </si>
  <si>
    <t>Soil Carbon Storage : Modulators, Mechanisms and Modeling</t>
  </si>
  <si>
    <t>Singh, Brajesh</t>
  </si>
  <si>
    <t>S592.6.C35 .S655 2018</t>
  </si>
  <si>
    <t>Soils-Carbon content. ; Carbon sequestration. ; Soil fertility.</t>
  </si>
  <si>
    <t>Handbook of Research on Intrapreneurship and Organizational Sustainability in SMEs</t>
  </si>
  <si>
    <t>Perez-Uribe, Rafael;Salcedo-Perez, Carlos;Ocampo-Guzman, David</t>
  </si>
  <si>
    <t>HD62.7 .H3722</t>
  </si>
  <si>
    <t>658/.022</t>
  </si>
  <si>
    <t>Small business-Management.</t>
  </si>
  <si>
    <t>Himalayan Phytochemicals : Sustainable Options for Sourcing and Developing Bioactive Compounds</t>
  </si>
  <si>
    <t>Jan, Sumira;Abbas, Nazia</t>
  </si>
  <si>
    <t>Science; Medicine; Pharmacy; Science: Botany</t>
  </si>
  <si>
    <t>QK861 .J36 2018</t>
  </si>
  <si>
    <t>Phytochemicals-Himalaya Mountains. ; SCIENCE / Life Sciences / Biochemistry.</t>
  </si>
  <si>
    <t>The Future of Soil Carbon : Its Conservation and Formation</t>
  </si>
  <si>
    <t>Garcia, Carlos;Nannipieri, Paolo;Hernandez, Teresa</t>
  </si>
  <si>
    <t>S592.6.C35 .F888 2018</t>
  </si>
  <si>
    <t>Soils-Carbon content. ; Soil science.</t>
  </si>
  <si>
    <t>Biodiversity and Climate Change Adaptation in Tropical Islands</t>
  </si>
  <si>
    <t>Sivaperuman, Chandrakasan;Velmurugan, A.;Singh, A. K.;Jaisankar, I.</t>
  </si>
  <si>
    <t>Environmental Studies; Science; Science: Biology/Natural History</t>
  </si>
  <si>
    <t>QH541.15.B56 .B563 2018</t>
  </si>
  <si>
    <t>Biodiversity-Climatic factors-Tropics. ; Bioclimatology-Tropics. ; Climatic changes-Tropics.</t>
  </si>
  <si>
    <t>Sustainable Construction Materials : Glass Cullet</t>
  </si>
  <si>
    <t>Dhir, Ravindra K.;Brito, Jorge de;Ghataora, Gurmel S.;Lye, Chao Qun</t>
  </si>
  <si>
    <t>TP857 .S878 2018</t>
  </si>
  <si>
    <t>Glass manufacture-By-products. ; Sustainable construction. ; TECHNOLOGY &amp; ENGINEERING / Chemical &amp; Biochemical.</t>
  </si>
  <si>
    <t>Well Control for Completions and Interventions</t>
  </si>
  <si>
    <t>Crumpton, Howard</t>
  </si>
  <si>
    <t>TN871.27 .C786 2018</t>
  </si>
  <si>
    <t>Completion fluids. ; Completion fluids-Safety measures. ; TECHNOLOGY &amp; ENGINEERING / Mining.</t>
  </si>
  <si>
    <t>Zero Waste : Simple Life Hacks to Drastically Reduce Your Trash</t>
  </si>
  <si>
    <t>Su, Shia</t>
  </si>
  <si>
    <t>Home Economics; Engineering: Environmental; Environmental Studies</t>
  </si>
  <si>
    <t>International Journal of Social Ecology and Sustainable Development (IJSESD) Volume 9, Issue 2</t>
  </si>
  <si>
    <t>Social ecology. ; Human ecology-Philosophy. ; Sustainable development.</t>
  </si>
  <si>
    <t>International Journal of Sustainable Economies Management (IJSEM) Volume 7, Issue 2</t>
  </si>
  <si>
    <t>Corporate Social Responsibility : Perspectives for Sustainable Corporate Governance</t>
  </si>
  <si>
    <t>Malecki, Catherine</t>
  </si>
  <si>
    <t>HD60 .M354 2018</t>
  </si>
  <si>
    <t>Euratom at the Crossroads</t>
  </si>
  <si>
    <t>Södersten, Anna</t>
  </si>
  <si>
    <t>KJE6698 .S634 2018</t>
  </si>
  <si>
    <t>Energy industries-Law and legislation-European Union countries.</t>
  </si>
  <si>
    <t>24th Concrete Days 2017</t>
  </si>
  <si>
    <t>Nenadálová, Sárka;Johová, Petra;Sajdlova, Tereza</t>
  </si>
  <si>
    <t>Net Zero Energy Buildings (NZEB) : Concepts, Frameworks and Roadmap for Project Analysis and Implementation</t>
  </si>
  <si>
    <t>Attia, Shady</t>
  </si>
  <si>
    <t>TJ163.5.B84 .S533 218</t>
  </si>
  <si>
    <t>Buildings-Energy conservation.</t>
  </si>
  <si>
    <t>Global Sustainability and Communities of Practice</t>
  </si>
  <si>
    <t>Maida, Carl A.;Beck, Sam</t>
  </si>
  <si>
    <t>HC79.E5 G5971455</t>
  </si>
  <si>
    <t>Biodiversity and Evolution</t>
  </si>
  <si>
    <t>Grandcolas, Philippe;Maurel, Marie-Christine</t>
  </si>
  <si>
    <t>Environmental Studies; Science; Science: Biology/Natural History; Economics</t>
  </si>
  <si>
    <t>QH325 .B563 2018</t>
  </si>
  <si>
    <t>Molecular evolution. ; Biodiversity. ; Evolution (Biology)</t>
  </si>
  <si>
    <t>Energy and Climate Change : An Introduction to Geological Controls, Interventions and Mitigations</t>
  </si>
  <si>
    <t>Stephenson, Michael</t>
  </si>
  <si>
    <t>TD195.E49 .S747 2018</t>
  </si>
  <si>
    <t>Power resources-Environmental aspects. ; Climatic changes.</t>
  </si>
  <si>
    <t>Optimal Design and Retrofit of Energy Efficient Buildings, Communities, and Urban Centers</t>
  </si>
  <si>
    <t>Krarti, Moncef</t>
  </si>
  <si>
    <t>TH880 .K737 2018</t>
  </si>
  <si>
    <t>Sustainable buildings-Design and construction. ; Sustainable construction.</t>
  </si>
  <si>
    <t>Women's Empowerment for Sustainability in Africa</t>
  </si>
  <si>
    <t>Dibie, Robert</t>
  </si>
  <si>
    <t>HQ1240.5.A35 .W664 2018</t>
  </si>
  <si>
    <t>Women in development-Government policy-Africa. ; Sustainable development-Africa.</t>
  </si>
  <si>
    <t>Financial Sustainability and Intergenerational Equity in Local Governments</t>
  </si>
  <si>
    <t>Bolivar, Manuel Pedro Rodriguez;López Subirés, María Deseada</t>
  </si>
  <si>
    <t>HJ141 .F565</t>
  </si>
  <si>
    <t>336/.014</t>
  </si>
  <si>
    <t>Local transit</t>
  </si>
  <si>
    <t>Creating the Sustainable Public Library: the Triple Bottom Line Approach</t>
  </si>
  <si>
    <t>Shaffer, Gary L.</t>
  </si>
  <si>
    <t>Z678 .S534 2018</t>
  </si>
  <si>
    <t>Public libraries-United States-Administration. ; Public libraries-United States-Planning. ; Public libraries-Administration. ; Public libraries-Planning.</t>
  </si>
  <si>
    <t>Adapting to Climate Change in Europe : Exploring Sustainable Pathways - from Local Measures to Wider Policies</t>
  </si>
  <si>
    <t>Sanderson, Hans;Hilden, Mikael;Russel, Duncan;Penha-Lopes, Gil;Capriolo, Alessio</t>
  </si>
  <si>
    <t>QC981.8.C5 .A337 2018</t>
  </si>
  <si>
    <t>Climatic changes-Government policy-Europe. ; Environmental policy-Europe.</t>
  </si>
  <si>
    <t>Sustainable Desalination Handbook : Plant Selection, Design and Implementation</t>
  </si>
  <si>
    <t>Engineering: Mechanical; Engineering; Engineering: Environmental</t>
  </si>
  <si>
    <t>TJ808.3 .G834 2018</t>
  </si>
  <si>
    <t>Renewable energy sources-Handbooks, manuals, etc. ; Saline water conversion.</t>
  </si>
  <si>
    <t>Renewable Energy Powered Desalination Handbook : Application and Thermodynamics</t>
  </si>
  <si>
    <t>TD430 .G834 2018</t>
  </si>
  <si>
    <t>Water-Purification-Energy consumption. ; Saline water conversion. ; Renewable energy sources.</t>
  </si>
  <si>
    <t>Food Systems Sustainability and Environmental Policies in Modern Economies</t>
  </si>
  <si>
    <t>Obayelu, Abiodun Elijah</t>
  </si>
  <si>
    <t>HD9000.5 .F5996</t>
  </si>
  <si>
    <t>Food supply. ; Food security. ; Environmental policy.</t>
  </si>
  <si>
    <t>Handbook of Material Weathering</t>
  </si>
  <si>
    <t>ChemTec Publishing</t>
  </si>
  <si>
    <t>Wypych, George</t>
  </si>
  <si>
    <t>TA418.74 .W979 2018</t>
  </si>
  <si>
    <t>620.1/1223</t>
  </si>
  <si>
    <t>Materials-Deterioration-Handbooks, manuals, etc. ; Materials-Biodegradation-Handbooks, manuals, etc. ; Polymers-Deterioration-Handbooks, manuals, etc. ; Polymers-Biodegradation-Handbooks, manuals, etc. ; Environmental testing-Handbooks, manuals, etc.</t>
  </si>
  <si>
    <t>Handbook of Research on Social Marketing and Its Influence on Animal Origin Food Product Consumption</t>
  </si>
  <si>
    <t>Bogueva, Diana;Marinova, Dora;Raphaely, Talia</t>
  </si>
  <si>
    <t>HD9410.5 .S63</t>
  </si>
  <si>
    <t>Meat industry and trade-Environmental aspects. ; Meat industry and trade-Social aspects. ; Social marketing.</t>
  </si>
  <si>
    <t>Environmental Chemicals, the Human Microbiome, and Health Risk : A Research Strategy</t>
  </si>
  <si>
    <t>National Academies of Sciences, Engineering, and Medicine;Division on Earth and Life Studies;Board on Life Sciences;Board on Environmental Studies and Toxicology;Committee on Advancing Understanding of the Implications of Environmental-Chemical Interactions with the Human Microbiome</t>
  </si>
  <si>
    <t>613/.1</t>
  </si>
  <si>
    <t>Crowdfunding and Sustainable Urban Development in Emerging Economies</t>
  </si>
  <si>
    <t>Benna, Umar G.;Benna, Abubakar U.</t>
  </si>
  <si>
    <t>HG4751 .C784</t>
  </si>
  <si>
    <t>307.1/416091724</t>
  </si>
  <si>
    <t>Crowd funding-Developing countries. ; City planning-Developing countries. ; Sustainable development-Developing countries.</t>
  </si>
  <si>
    <t>Defence Logistics : Enabling and Sustaining Successful Military Operations</t>
  </si>
  <si>
    <t>Smith, Jeremy</t>
  </si>
  <si>
    <t>U168 .D444 2018</t>
  </si>
  <si>
    <t>Logistics.</t>
  </si>
  <si>
    <t>Non-Traditional Cement and Concrete</t>
  </si>
  <si>
    <t>Nenadálová, Sárka;Bílek, Vlastimil;Kersner, Zbyněk;Seitl, Stanislav;Simonová, Hana</t>
  </si>
  <si>
    <t>Understanding Climate Change Impacts on Crop Productivity and Water Balance</t>
  </si>
  <si>
    <t>Jalota, S. K.;Vashist, B. B.;Sharma, Sandeep;Kaur, Samanpreet</t>
  </si>
  <si>
    <t>S600 .U534 2018</t>
  </si>
  <si>
    <t>Crops and climate. ; Climatic changes.</t>
  </si>
  <si>
    <t>Advanced Oxidation Processes for Wastewater Treatment : Emerging Green Chemical Technology</t>
  </si>
  <si>
    <t>Ameta, Suresh C.;Ameta, Rakshit;Ameta, Suresh;Ameta, Rakshit</t>
  </si>
  <si>
    <t>TD458 .A383 2018</t>
  </si>
  <si>
    <t>Water-Aeration. ; Water-Purification-Oxidation. ; Sewage-Purification-Oxidation.</t>
  </si>
  <si>
    <t>Climate Church, Climate World : How People of Faith Must Work for Change</t>
  </si>
  <si>
    <t>Antal, Jim;McKibben, Bill</t>
  </si>
  <si>
    <t>BT695.5 .A583 2018</t>
  </si>
  <si>
    <t>Human ecology-Religious aspects-Christianity. ; Climatic changes.</t>
  </si>
  <si>
    <t>A Living Past : Environmental Histories of Modern Latin America</t>
  </si>
  <si>
    <t>Soluri, John;Leal, Claudia;Pádua, José Augusto</t>
  </si>
  <si>
    <t>GF514 .L58 2018</t>
  </si>
  <si>
    <t>Human ecology-Latin America-History. ; Nature-Effect of human beings on-Latin America-History. ; Latin America-Environmental conditions.</t>
  </si>
  <si>
    <t>Nature Based Strategies for Urban and Building Sustainability</t>
  </si>
  <si>
    <t>Perez, Gabriel;Perini, Katia</t>
  </si>
  <si>
    <t>HT241 .N388 2018</t>
  </si>
  <si>
    <t>Sustainable urban development. ; Sustainable buildings. ; Green technology.</t>
  </si>
  <si>
    <t>Special Concrete and Composites 2017</t>
  </si>
  <si>
    <t>Reiterman, Pavel</t>
  </si>
  <si>
    <t>Engineering; Science: Physics; Engineering: Construction</t>
  </si>
  <si>
    <t>Hydrogen and Fuel Cells : Emerging Technologies and Applications</t>
  </si>
  <si>
    <t>Sorensen (Sørensen), Bent;Spazzafumo, Giuseppe;Sorensen (Sorensen), Bent;Spazzafumo, Giuseppe</t>
  </si>
  <si>
    <t>Engineering: Electrical; Engineering; Engineering: Chemical</t>
  </si>
  <si>
    <t>TP359.H8 .S746 2018</t>
  </si>
  <si>
    <t>621.31/2429</t>
  </si>
  <si>
    <t>Hydrogen as fuel. ; Fuel cells.</t>
  </si>
  <si>
    <t>Advances in Renewable Energies and Power Technologies : Volume 1: Solar and Wind Energies</t>
  </si>
  <si>
    <t>Yahyaoui, Imene</t>
  </si>
  <si>
    <t>TJ810 .A383 2018</t>
  </si>
  <si>
    <t>Solar energy. ; Wind power. ; Renewable energy sources.</t>
  </si>
  <si>
    <t>Climate Change and Sustainable Heritage</t>
  </si>
  <si>
    <t>Hofbauer, Christian Kersten;Kandjani, Elham Madadi;Meuwissen, Jean Marie Corneille</t>
  </si>
  <si>
    <t>GF51 .C556 2018</t>
  </si>
  <si>
    <t>Human beings-Effect of environment on.</t>
  </si>
  <si>
    <t>Health Care and Environmental Contamination</t>
  </si>
  <si>
    <t>Boxall, Alistair;Kookana, Rai S.</t>
  </si>
  <si>
    <t>Social Science; Engineering: Environmental; Health; Engineering</t>
  </si>
  <si>
    <t>RA567.7 .H435 2018</t>
  </si>
  <si>
    <t>Medical wastes-Environmental aspects. ; Health facilities-Waste disposal. ; Hospitals-Waste disposal. ; Drugs-Environmental aspects.</t>
  </si>
  <si>
    <t>Sustainable Development and Governance Strategies for Economic Growth in Africa</t>
  </si>
  <si>
    <t>Teshager Alemu, Kassa;Abebe Alebachew, Mulunesh</t>
  </si>
  <si>
    <t>HC800.Z9 S385</t>
  </si>
  <si>
    <t>Environmental Health in the 21st Century: from Air Pollution to Zoonotic Diseases [2 Volumes]</t>
  </si>
  <si>
    <t>Greenwood</t>
  </si>
  <si>
    <t>Crume, Richard V.</t>
  </si>
  <si>
    <t>Medicine; Engineering: Environmental</t>
  </si>
  <si>
    <t>Handbook of Research on Heritage Management and Preservation</t>
  </si>
  <si>
    <t>Ngulube, Patrick</t>
  </si>
  <si>
    <t>History; Museums</t>
  </si>
  <si>
    <t>CC135 .H357</t>
  </si>
  <si>
    <t>069/.4</t>
  </si>
  <si>
    <t>Cultural property-Protection. ; Museums-Collection management.</t>
  </si>
  <si>
    <t>Green Computing Strategies for Competitive Advantage and Business Sustainability</t>
  </si>
  <si>
    <t>HD30.2 .G735</t>
  </si>
  <si>
    <t>Information technology-Management. ; Management-Environmental aspects.</t>
  </si>
  <si>
    <t>Sustainable Landscape Construction, Third Edition : A Guide to Green Building Outdoors</t>
  </si>
  <si>
    <t>Sorvig, Kim;Thompson, J. William</t>
  </si>
  <si>
    <t>Fine Arts; Engineering; Engineering: Construction</t>
  </si>
  <si>
    <t>TH380</t>
  </si>
  <si>
    <t>The Role of Global Air Pollution in Aging and Disease : Reading Smoke Signals</t>
  </si>
  <si>
    <t>Finch, Caleb E.</t>
  </si>
  <si>
    <t>RC720 .F563 2018</t>
  </si>
  <si>
    <t>Pulmonary toxicology. ; Air-Pollution.</t>
  </si>
  <si>
    <t>Managing Natural Resources : Organizational Strategy, Behaviour and Dynamics</t>
  </si>
  <si>
    <t>George, Gerard;Schillebeeckx, Simon J. D.</t>
  </si>
  <si>
    <t>Sustainable Recovery and Reutilization of Cereal Processing By-Products</t>
  </si>
  <si>
    <t>TP370$b.S878 2018</t>
  </si>
  <si>
    <t>Achieving Quality and Sustainability in the Czech Business Environment</t>
  </si>
  <si>
    <t>Formánková, Sylvie;Vajčnerová, Ida;Vajčnerová, Ida</t>
  </si>
  <si>
    <t>HC270.24 .A245 2018</t>
  </si>
  <si>
    <t>Industries-Czech Republic.</t>
  </si>
  <si>
    <t>Sustaining Ocean Observations to Understand Future Changes in Earth's Climate</t>
  </si>
  <si>
    <t>National Academies of Sciences, Engineering, and Medicine;Division on Earth and Life Studies;Board on Atmospheric Sciences and Climate;Ocean Studies Board;Committee on Sustaining Ocean Observations to Understand Future Changes in Earth's Climate</t>
  </si>
  <si>
    <t>The Nature and Use of Ecotoxicological Evidence : Natural Science, Statistics, Psychology, and Sociology</t>
  </si>
  <si>
    <t>Newman, Michael C.</t>
  </si>
  <si>
    <t>RA1226 .N496 2018</t>
  </si>
  <si>
    <t>Handbook of Research on Renewable Energy and Electric Resources for Sustainable Rural Development</t>
  </si>
  <si>
    <t>Kharchenko, Valeriy;Vasant, Pandian</t>
  </si>
  <si>
    <t>TJ808 .R41245</t>
  </si>
  <si>
    <t>Renewable energy sources. ; Rural electrification. ; Rural development.</t>
  </si>
  <si>
    <t>Global Development Monitor 2017</t>
  </si>
  <si>
    <t>Center for Strategic &amp; International Studies</t>
  </si>
  <si>
    <t>CSIS Reports</t>
  </si>
  <si>
    <t>Savoy, Conor M.;Rice, Charles F.</t>
  </si>
  <si>
    <t>HC244.5.Z9 .G563 2017</t>
  </si>
  <si>
    <t>Sustainable Development Goals. ; Economic development.</t>
  </si>
  <si>
    <t>Coal-Fired Electricity and Emissions Control : Efficiency and Effectiveness</t>
  </si>
  <si>
    <t>Tillman, David A.</t>
  </si>
  <si>
    <t>TD195.E4 .T555 2018</t>
  </si>
  <si>
    <t>Coal-fired power plants-Environmental aspects. ; Carbon dioxide mitigation. ; Sulfur dioxide-Environmental aspects.</t>
  </si>
  <si>
    <t>Bio-Geotechnologies for Mine Site Rehabilitation</t>
  </si>
  <si>
    <t>Prasad, M. N. V.;de Campos Favas, Paulo Jorge;Kumar Maiti, Subodh</t>
  </si>
  <si>
    <t>Agriculture; Engineering; Engineering: Mining</t>
  </si>
  <si>
    <t>S621.5.M48 .B564 2018</t>
  </si>
  <si>
    <t>Abandoned mined lands reclamation. ; Mineral industries-Environmental aspects. ; Geomicrobiology.</t>
  </si>
  <si>
    <t>Fault Diagnosis and Sustainable Control of Wind Turbines : Robust Data-Driven and Model-Based Strategies</t>
  </si>
  <si>
    <t>Simani, Silvio;Farsoni, Saverio</t>
  </si>
  <si>
    <t>Engineering: Electrical; Engineering: Mechanical; Engineering</t>
  </si>
  <si>
    <t>TJ828 .S563 2018</t>
  </si>
  <si>
    <t>621.3/12136</t>
  </si>
  <si>
    <t>Wind turbines.</t>
  </si>
  <si>
    <t>Perennial Grasses for Bioenergy and Bioproducts : Production, Uses, Sustainability and Markets for Giant Reed, Miscanthus, Switchgrass, Reed Canary Grass and Bamboo</t>
  </si>
  <si>
    <t>Alexopoulou, Efthymia</t>
  </si>
  <si>
    <t>SB197 .P474 2018</t>
  </si>
  <si>
    <t>Grasses. ; Biomass conversion. ; Plant biomass.</t>
  </si>
  <si>
    <t>Water Scarcity and Sustainable Agriculture in Semiarid Environment : Tools, Strategies, and Challenges for Woody Crops</t>
  </si>
  <si>
    <t>Garcia Tejero, Ivan Francisco;Duran Zuazo, Victor Hugo</t>
  </si>
  <si>
    <t>S494.5.W3 .W384 2018</t>
  </si>
  <si>
    <t>Water in agriculture. ; Sustainable agriculture.</t>
  </si>
  <si>
    <t>Sustainable Hydropower in West Africa : Planning, Operation, and Challenges</t>
  </si>
  <si>
    <t>Kabo-Bah, Amos T.;Diji, Chukwuemeka J.</t>
  </si>
  <si>
    <t>Engineering; Economics; Engineering: Civil; Environmental Studies</t>
  </si>
  <si>
    <t>TC147 .S878 2018</t>
  </si>
  <si>
    <t>Water-power-Environmental aspects. ; Sustainable development.</t>
  </si>
  <si>
    <t>Sustainable Food Systems from Agriculture to Industry : Improving Production and Processing</t>
  </si>
  <si>
    <t>S441 .S878 2018</t>
  </si>
  <si>
    <t>Sustainable agriculture-United States.</t>
  </si>
  <si>
    <t>Environmental Engineering Dictionary</t>
  </si>
  <si>
    <t>TD9 .S645 2018</t>
  </si>
  <si>
    <t>Environmental engineering-Dictionaries. ; Environmental protection-Dictionaries.</t>
  </si>
  <si>
    <t>International Journal of Social Ecology and Sustainable Development (IJSESD) Volume 9, Issue 1</t>
  </si>
  <si>
    <t>GF21 .C373 2018</t>
  </si>
  <si>
    <t>Human ecology-Philosophy.</t>
  </si>
  <si>
    <t>International Journal of Sustainable Economies Management (IJSEM) Volume 7, Issue 1</t>
  </si>
  <si>
    <t>Economic development-Periodicals. ; Sustainable development-Periodicals.</t>
  </si>
  <si>
    <t>International Journal of Sustainable Entrepreneurship and Corporate Social Responsibility (IJSECSR) Volume 3, Issue 1</t>
  </si>
  <si>
    <t>Handbook of Research Methods in Corporate Social Responsibility</t>
  </si>
  <si>
    <t>Crowther, David;Lauesen, Linne M.</t>
  </si>
  <si>
    <t>HD60 .H363 2017</t>
  </si>
  <si>
    <t>Social responsibility of business-Research-Handbooks, manuals, etc.</t>
  </si>
  <si>
    <t>Ökonomische Auswirkungen einer restriktiveren europäischen Pflanzenschutzpolitik auf die Landwirtschaft am Beispiel der azolbasierten Fungizide : Eine Simulation anhand der Diskreten Choice-Analyse und der Hierarchical Bayes Choice-Based Conjoint Methodik</t>
  </si>
  <si>
    <t>Keudel, Nadia</t>
  </si>
  <si>
    <t>SB950 .K483 2017</t>
  </si>
  <si>
    <t>Plants, Protection of. ; Sustainable agriculture. ; Pests-Control.</t>
  </si>
  <si>
    <t>Ethics and Decision-Making for Sustainable Business Practices</t>
  </si>
  <si>
    <t>HD30.255 .E89</t>
  </si>
  <si>
    <t>Knowledge Integration Strategies for Entrepreneurship and Sustainability</t>
  </si>
  <si>
    <t>Baporikar, Neeta</t>
  </si>
  <si>
    <t>HD30.2 .K6365195</t>
  </si>
  <si>
    <t>Knowledge management. ; Management. ; Entrepreneurship.</t>
  </si>
  <si>
    <t>Value Sharing for Sustainable and Inclusive Development</t>
  </si>
  <si>
    <t>Risso, Mario;Testamarta, Silvia</t>
  </si>
  <si>
    <t>HC79.E5 V254</t>
  </si>
  <si>
    <t>This Green and Growing Land : Environmental Activism in American History</t>
  </si>
  <si>
    <t>American Ways</t>
  </si>
  <si>
    <t>Armitage, Kevin C.</t>
  </si>
  <si>
    <t>GE197 .A765 2018</t>
  </si>
  <si>
    <t>Environmentalism-United States-History. ; Non-governmental organizations-Political activity.</t>
  </si>
  <si>
    <t>Driving Green Consumerism Through Strategic Sustainability Marketing</t>
  </si>
  <si>
    <t>Quoquab, Farzana;Thurasamy, Ramayah;Mohammad, Jihad</t>
  </si>
  <si>
    <t>HF5413 .D75</t>
  </si>
  <si>
    <t>658.802 23</t>
  </si>
  <si>
    <t>Green marketing. ; Consumer behavior-Environmental aspects. ; Environmentalism. ; Consumption (Economics)-Environmental aspects.</t>
  </si>
  <si>
    <t>Green Production Strategies for Sustainability</t>
  </si>
  <si>
    <t>Tsai, Sang-Binge;Liu, Bin;Li, Yongian</t>
  </si>
  <si>
    <t>TS155.7 .G738</t>
  </si>
  <si>
    <t>Global Climate Change and Coastal Tourism : Recognizing Problems, Managing Solutions and Future Expectations</t>
  </si>
  <si>
    <t>Jones, Andrew;Phillips, Michael;Akbas, Abdullah;An, Nazan;Anthonisz, Angela;Borges, Paulo;Boyd, Stephen William;Bùi, Huong T.;Buultjens, Jeremy;Calado, Helena</t>
  </si>
  <si>
    <t>Business/Management; Economics; Geography/Travel</t>
  </si>
  <si>
    <t>G156.5.E58 .G563 2018</t>
  </si>
  <si>
    <t>338.4/79109146</t>
  </si>
  <si>
    <t>Tourism-Environmental aspects-Case studies. ; Coastal zone management-Case studies. ; Sustainable tourism-Case studies. ; Coastal ecology-Case studies. ; Global climate change-Case studies.</t>
  </si>
  <si>
    <t>Examining Ecology : Exercises in Environmental Biology and Conservation</t>
  </si>
  <si>
    <t>Rees, Paul A.</t>
  </si>
  <si>
    <t>QH541 .R447 2018</t>
  </si>
  <si>
    <t>Ecology. ; Conservation biology.</t>
  </si>
  <si>
    <t>Sustainable Cities and Communities Design Handbook : Green Engineering, Architecture, and Technology</t>
  </si>
  <si>
    <t>GE170$b.S878 2018</t>
  </si>
  <si>
    <t>Technological Tools for Value-Based Sustainable Relationships : Emerging Research and Opportunities</t>
  </si>
  <si>
    <t>Zineldin, Mosad;Vasicheva, Valentina</t>
  </si>
  <si>
    <t>HC79.I55 Z56</t>
  </si>
  <si>
    <t>Information technology--Economic aspects.</t>
  </si>
  <si>
    <t>Sustainable Development Goals and Income Inequality</t>
  </si>
  <si>
    <t>van Bergeijk, Peter A. G.;van der Hoeven, Rolph</t>
  </si>
  <si>
    <t>Sustainable Management of Arthropod Pests of Tomato</t>
  </si>
  <si>
    <t>Wakil, Waqas;Brust, Gerald E.;Perring, Thomas</t>
  </si>
  <si>
    <t>SB608.T75 .S878 2018</t>
  </si>
  <si>
    <t>635/.642</t>
  </si>
  <si>
    <t>Tomatoes-Diseases and pests. ; Arthropoda-Control.</t>
  </si>
  <si>
    <t>Water Perspectives in Emerging Countries : Integrating Ecosystems in Coastal Engineering Practice (INECEP). Proceedings of the Summer School September 18-30, 2017 – Puerto Morelos, Mexico</t>
  </si>
  <si>
    <t>Bahadir, Müfit</t>
  </si>
  <si>
    <t>Science: Geology; Science: Chemistry; Science</t>
  </si>
  <si>
    <t>GB652 .W384 2017</t>
  </si>
  <si>
    <t>Water-Congresses. ; Environmental impact analysis. ; Biotic communities.</t>
  </si>
  <si>
    <t>Energy Efficiency in Strategy of Sustainable Production III</t>
  </si>
  <si>
    <t>Franke, Jörg;Kreitlein, Sven;Reinhart, Gunther;Gebbe, Christian;Steinhilper, Rolf;Böhner, Johannes</t>
  </si>
  <si>
    <t>Engineering; Engineering: Manufacturing; Engineering: General</t>
  </si>
  <si>
    <t>Microbiomes of the Built Environment : A Research Agenda for Indoor Microbiology, Human Health, and Buildings</t>
  </si>
  <si>
    <t>National Academies of Sciences, Engineering, and Medicine;National Academy of Engineering;Division on Engineering and Physical Sciences;Health and Medicine Division;Division on Earth and Life Studies;Board on Infrastructure and the Constructed Environment;Board on Environmental Studies and Toxicology;Board on Life Sciences;Committee on Microbiomes of the Built Environment: From Research to Application</t>
  </si>
  <si>
    <t>Sustainable Development : Concepts, Methodologies, Tools, and Applications</t>
  </si>
  <si>
    <t>HC79.E5 S861867</t>
  </si>
  <si>
    <t>Grassroots Sustainability Innovations in Sports Management : Emerging Research and Opportunities</t>
  </si>
  <si>
    <t>Tortora, Marco</t>
  </si>
  <si>
    <t>GV713 .T67</t>
  </si>
  <si>
    <t>796.06/94</t>
  </si>
  <si>
    <t>Sports administration.</t>
  </si>
  <si>
    <t>Barling, David</t>
  </si>
  <si>
    <t>HD9000.5 .A383 2017</t>
  </si>
  <si>
    <t>Food security. ; Sustainable agriculture.</t>
  </si>
  <si>
    <t>Heat, Greed and Human Need : Climate Change, Capitalism and Sustainable Wellbeing</t>
  </si>
  <si>
    <t>Gough, Ian</t>
  </si>
  <si>
    <t>Social Science; Science: Physics; Science</t>
  </si>
  <si>
    <t>QC903.G684 2017</t>
  </si>
  <si>
    <t>Climate change mitigation--Economic aspects.</t>
  </si>
  <si>
    <t>Weaving Complementary Knowledge Systems and Mindfulness to Educate a Literate Citizenry for Sustainable and Healthy Lives</t>
  </si>
  <si>
    <t>Powietrzyńska, Małgorzata;Tobin, Kenneth;Tobin, Kenneth</t>
  </si>
  <si>
    <t>L1-991</t>
  </si>
  <si>
    <t>China's Urban Revolution : Understanding Chinese Eco-Cities</t>
  </si>
  <si>
    <t>Williams, Austin</t>
  </si>
  <si>
    <t>HT243.C6.W55 2017</t>
  </si>
  <si>
    <t>Sustainable urban development--China.</t>
  </si>
  <si>
    <t>Sustainable Construction Materials : Municipal Incinerated Bottom Ash</t>
  </si>
  <si>
    <t>Dhir, Ravindra K.;Brito, Jorge de;Lynn, Ciaran J.;Silva, Rui V.</t>
  </si>
  <si>
    <t>Engineering: Civil; Engineering: Chemical; Engineering</t>
  </si>
  <si>
    <t>TA403.6.D445 2018</t>
  </si>
  <si>
    <t>Waste products as building materials.</t>
  </si>
  <si>
    <t>QMOD-ICQSS conference, ‘Building a culture for quality, innovation and sustainability’</t>
  </si>
  <si>
    <t>International Journal of Quality and Service Sciences</t>
  </si>
  <si>
    <t>Dahlgaard-Park, Su Mi</t>
  </si>
  <si>
    <t>TS155.Q43 2017</t>
  </si>
  <si>
    <t>Production management.</t>
  </si>
  <si>
    <t>International Journal of Sustainable Economies Management (IJSEM) Volume 6, Issue 4</t>
  </si>
  <si>
    <t>International Journal of Social Ecology and Sustainable Development (IJSESD) Volume 8, Issue 4</t>
  </si>
  <si>
    <t>HM861.I584 2017</t>
  </si>
  <si>
    <t>Social ecology--Periodicals.</t>
  </si>
  <si>
    <t>A Century of Wildland Fire Research : Contributions to Long-Term Approaches for Wildland Fire Management: Proceedings of a Workshop</t>
  </si>
  <si>
    <t>National Academies of Sciences, Engineering, and Medicine;Division on Earth and Life Studies;Board on Agriculture and Natural Resources;Board on Earth Sciences and Resources;Committee on Increasing Resilience to Wildland Fire: A Century of Wildland Fire Research;Laney, Kara N.</t>
  </si>
  <si>
    <t>363.37/9</t>
  </si>
  <si>
    <t>Environmental Geochemistry : Site Characterization, Data Analysis and Case Histories</t>
  </si>
  <si>
    <t>De Vivo, B.;Belkin, Harvey;Lima, Annamaria;DeVivo, Benedetto;Belkin, Harvey;Lima, Annamaria</t>
  </si>
  <si>
    <t>QE516.4.E585 2017</t>
  </si>
  <si>
    <t>Environmental geochemistry.</t>
  </si>
  <si>
    <t>Biotechnology for Sustainable Agriculture : Emerging Approaches and Strategies</t>
  </si>
  <si>
    <t>Singh, Ram Lakhan;Mondal, Sukanta</t>
  </si>
  <si>
    <t>S494.5.S86.B568 2018</t>
  </si>
  <si>
    <t>Modèles de la ville durable en Asie / Asian models of sustainable city : Utopies, circulation des pratiques, gouvernance / Utopia, circulation of practices, governance</t>
  </si>
  <si>
    <t>P.I.E-Peter Lang S.A., Éditions Scientifiques Internationales</t>
  </si>
  <si>
    <t>EcoPolis</t>
  </si>
  <si>
    <t>Leducq, Divya;Scarwell, Helga-Jane;Ingallina, Patrizia</t>
  </si>
  <si>
    <t>HT243.A78.M634 2017</t>
  </si>
  <si>
    <t>307.1/416095</t>
  </si>
  <si>
    <t>Sustainable urban development--Asia.</t>
  </si>
  <si>
    <t>Encyclopedia of Sustainable Technologies</t>
  </si>
  <si>
    <t>Abraham, Martin</t>
  </si>
  <si>
    <t>TA170.E539 2017</t>
  </si>
  <si>
    <t>A Review of the Environmental Protection Agency's Science to Achieve Results Research Program</t>
  </si>
  <si>
    <t>National Academies of Sciences, Engineering, and Medicine;Division on Earth and Life Studies;Board on Environmental Studies and Toxicology;Committee on the Review of Environmental Protection Agency's Science to Achieve Results Research Grants Program</t>
  </si>
  <si>
    <t>Political Science; Science</t>
  </si>
  <si>
    <t>Q126.9.R485 2017</t>
  </si>
  <si>
    <t>United States. Environmental Protection Agency--Research grants.</t>
  </si>
  <si>
    <t>Ecowomanism, Religion and Ecology</t>
  </si>
  <si>
    <t>Harris, Melanie</t>
  </si>
  <si>
    <t>Religion; Environmental Studies</t>
  </si>
  <si>
    <t>GF80.E269 2017</t>
  </si>
  <si>
    <t>Human ecology--Religious aspects.</t>
  </si>
  <si>
    <t>Health Reform Policy to Practice : Oregon's Path to a Sustainable Health System: a Study in Innovation</t>
  </si>
  <si>
    <t>Stock, Ronald;Goldberg, Bruce W.</t>
  </si>
  <si>
    <t>RA394.G653 2017</t>
  </si>
  <si>
    <t>Health care reform.</t>
  </si>
  <si>
    <t>Sustainable Health and Long-Term Care Solutions for an Aging Population</t>
  </si>
  <si>
    <t>Fong, Ben;Ng, Artie;Yuen, Peter</t>
  </si>
  <si>
    <t>RA564.8</t>
  </si>
  <si>
    <t>362.1084/6</t>
  </si>
  <si>
    <t>Medical policy.</t>
  </si>
  <si>
    <t>Methods for Sustainability Research</t>
  </si>
  <si>
    <t>Edward Elgar Publishing</t>
  </si>
  <si>
    <t>Hartz-Karp, Janette;Marinova, Dora</t>
  </si>
  <si>
    <t>HC79.E5.M484 2017</t>
  </si>
  <si>
    <t>Sustainable development--Research--Methodology.</t>
  </si>
  <si>
    <t>Linking Urban and Rural Tourism : Strategies in Sustainability</t>
  </si>
  <si>
    <t>Slocum, Susan L.;Kline, Carol;Boluk, Karla;Brain, Roslynn;Bricker, Kelly;Cavaliere, Christina T.;Clark, Dana;Curtis, Kynda R.;Delconte, John D.;Duffy, Lauren</t>
  </si>
  <si>
    <t>G155.A1 .L57 2017</t>
  </si>
  <si>
    <t>Rural tourism. ; Rural-urban relations. ; Sustainable tourism. ; Tourism.</t>
  </si>
  <si>
    <t>Sustainable Negotiation : What Physics Can Teach Us about International Negotiation</t>
  </si>
  <si>
    <t>Karsaklian, Eliane</t>
  </si>
  <si>
    <t>The Dark and the Bright Side of Digitalization – The Case of Sustainable Mobility</t>
  </si>
  <si>
    <t>Göttinger Wirtschaftsinformatik</t>
  </si>
  <si>
    <t>Nastjuk, Ilja</t>
  </si>
  <si>
    <t>Science: Astronomy; Science</t>
  </si>
  <si>
    <t>QB791.3</t>
  </si>
  <si>
    <t>Dark energy (Astronomy)</t>
  </si>
  <si>
    <t>Managerial Strategies for Business Sustainability During Turbulent Times</t>
  </si>
  <si>
    <t>HD30.28 .M345196</t>
  </si>
  <si>
    <t>Innovative Technology and Sustainable Engineering</t>
  </si>
  <si>
    <t>International Journal of Social Ecology and Sustainable Development (IJSESD) Volume 8, Issue 3</t>
  </si>
  <si>
    <t>HM861.C37 2017</t>
  </si>
  <si>
    <t>International Journal of Sustainable Economies Management (IJSEM) Volume 6, Issue 3</t>
  </si>
  <si>
    <t>HD72.I584 2017</t>
  </si>
  <si>
    <t>Economic development--Periodicals.</t>
  </si>
  <si>
    <t>International Journal of Sustainable Entrepreneurship and Corporate Social Responsibility (IJSECSR) Volume 2, Issue 2</t>
  </si>
  <si>
    <t>HC79.E5 .G878 2017</t>
  </si>
  <si>
    <t>Sustainability. ; Social entrepreneurship. ; Social responsibility of business.</t>
  </si>
  <si>
    <t>Review of the Draft Climate Science Special Report</t>
  </si>
  <si>
    <t>National Academies of Sciences, Engineering, and Medicine;Division on Earth and Life Studies;Board on Atmospheric Sciences and Climate;Committee to Review the Draft Climate Science Special Report</t>
  </si>
  <si>
    <t>Handbook on Growth and Sustainability</t>
  </si>
  <si>
    <t>Victor, Peter A.;Dolter, Brett</t>
  </si>
  <si>
    <t>HC79.E5H328544 2017</t>
  </si>
  <si>
    <t>Understanding Global Higher Education : Insights from Key Global Publications</t>
  </si>
  <si>
    <t>Mihut, Georgiana;Altbach, Philip G.;de Wit, Hans</t>
  </si>
  <si>
    <t>Higher education and state--Cross-cultural studies.</t>
  </si>
  <si>
    <t>Valuing Climate Damages : Updating Estimation of the Social Cost of Carbon Dioxide</t>
  </si>
  <si>
    <t>National Academies of Sciences, Engineering, and Medicine;Division of Behavioral and Social Sciences and Education;Board on Environmental Change and Society;Committee on Assessing Approaches to Updating the Social Cost of Carbon</t>
  </si>
  <si>
    <t>363.738/742</t>
  </si>
  <si>
    <t>Renewable Energy Integration : Practical Management of Variability, Uncertainty, and Flexibility in Power Grids</t>
  </si>
  <si>
    <t>Jones, Lawrence E.</t>
  </si>
  <si>
    <t>TJ808.R464 2017</t>
  </si>
  <si>
    <t>Renewable energy integration.</t>
  </si>
  <si>
    <t>Green Initiatives for Business Sustainability and Value Creation</t>
  </si>
  <si>
    <t>Paul, Arun Kumar;Bhattacharyya, Dipak Kumar;Anand, Sandip</t>
  </si>
  <si>
    <t>HD30.255 .G738</t>
  </si>
  <si>
    <t>Management--Environmental aspects.</t>
  </si>
  <si>
    <t>Sustainable and Nonconventional Construction Materials Using Inorganic Bonded Fiber Composites</t>
  </si>
  <si>
    <t>Savastano Junior, Holmer;Fiorelli, Juliano;Dos Santos, Sergio Francisco</t>
  </si>
  <si>
    <t>TA418.9.C6.S878 2017</t>
  </si>
  <si>
    <t>Fibrous composites.</t>
  </si>
  <si>
    <t>Desalination Sustainability : A Technical, Socioeconomic, and Environmental Approach</t>
  </si>
  <si>
    <t>Arafat, Hassan</t>
  </si>
  <si>
    <t>TD479.A734 2017</t>
  </si>
  <si>
    <t>628.167 (D)</t>
  </si>
  <si>
    <t>Saline water conversion.</t>
  </si>
  <si>
    <t>Sustainability in Denim</t>
  </si>
  <si>
    <t>TT557.S878 2017</t>
  </si>
  <si>
    <t>Denim.</t>
  </si>
  <si>
    <t>Conservation for the Anthropocene Ocean : Interdisciplinary Science in Support of Nature and People</t>
  </si>
  <si>
    <t>Levin, Phillip;Poe, Melissa R.</t>
  </si>
  <si>
    <t>GC1018</t>
  </si>
  <si>
    <t>Tourism and Resilience</t>
  </si>
  <si>
    <t>Butler, Richard;Abegg, Bruno;Alberts, Arjen;Amoamo, Maria;Baldacchino, Godfrey;Becken, Susanne;Berbés-Blázquez, Marta;Buultjens, Jeremy;Gnanapala, Athula Chammika;Goodwin, Harold</t>
  </si>
  <si>
    <t>G155.A1.T589136 2017</t>
  </si>
  <si>
    <t>Tourism--Environmental aspects.</t>
  </si>
  <si>
    <t>Sustainable Fibres and Textiles</t>
  </si>
  <si>
    <t>TD195.T48.S878 2017</t>
  </si>
  <si>
    <t>Textile industry--Environmental aspects.</t>
  </si>
  <si>
    <t>Nachhaltigkeit und Germanistik. Fokus, Kontrast und Konzept</t>
  </si>
  <si>
    <t>Deutsche Sprachwissenschaft international</t>
  </si>
  <si>
    <t>Szurawitzki, Michael;Zhao, Jin</t>
  </si>
  <si>
    <t>GE195 .N334 2017</t>
  </si>
  <si>
    <t>Electricity Generation and the Environment</t>
  </si>
  <si>
    <t>Engineering: Environmental; Engineering; Engineering: Electrical</t>
  </si>
  <si>
    <t>TD195.E4.B744 2017</t>
  </si>
  <si>
    <t>621.31/210286</t>
  </si>
  <si>
    <t>Electric power production--Environmental aspects.</t>
  </si>
  <si>
    <t>Functional Diversity of Mycorrhiza and Sustainable Agriculture : Management to Overcome Biotic and Abiotic Stresses</t>
  </si>
  <si>
    <t>Goss, Michael J.;Carvalho, Mário;Brito, Isabel</t>
  </si>
  <si>
    <t>SB106.M83.C378 2017</t>
  </si>
  <si>
    <t>631.4/6</t>
  </si>
  <si>
    <t>Mycorrhizas in agriculture.</t>
  </si>
  <si>
    <t>Life Adrift : Climate Change, Migration, Critique</t>
  </si>
  <si>
    <t>Geopolitical Bodies, Material Worlds</t>
  </si>
  <si>
    <t>Baldwin, Andrew;Bettini, Giovanni</t>
  </si>
  <si>
    <t>JV6225.L538 2017</t>
  </si>
  <si>
    <t>Migration, Internal - Environmental aspects</t>
  </si>
  <si>
    <t>Food Leadership : Leadership and Adult Learning for Global Food Systems Transformation</t>
  </si>
  <si>
    <t>International Issues in Adult Education Ser.</t>
  </si>
  <si>
    <t>Etmanski, Catherine</t>
  </si>
  <si>
    <t>Sustainability in Tourism and Regional Development</t>
  </si>
  <si>
    <t>Rangus, Marjetka;Gorenak, Mitja;Brumen, Bostjan</t>
  </si>
  <si>
    <t>G156.5.S87.S878 2017eb</t>
  </si>
  <si>
    <t>Hydrogen Economy : Supply Chain, Life Cycle Analysis and Energy Transition for Sustainability</t>
  </si>
  <si>
    <t>Scipioni, Antonio;Manzardo, Alessandro;Ren, Jingzheng;Ren, Jingzheng</t>
  </si>
  <si>
    <t>HD9660.H932.H937 2017</t>
  </si>
  <si>
    <t>Hydrogen industry.</t>
  </si>
  <si>
    <t>Handbook of Coffee Processing By-Products : Sustainable Applications</t>
  </si>
  <si>
    <t>Galanakis, Charis M.;Galanakis, Charis M.</t>
  </si>
  <si>
    <t>TP645.H363 2017</t>
  </si>
  <si>
    <t>Coffee--Processing.</t>
  </si>
  <si>
    <t>Waste-to-Resources 2017 : VII International Symposium MBT and MRF. Resources and Energy from Municipal Waste</t>
  </si>
  <si>
    <t>Kühle-Weidemeier, Matthias;Büscher, Katrin</t>
  </si>
  <si>
    <t>TD741.K845 2017</t>
  </si>
  <si>
    <t>Hazardous wastes.</t>
  </si>
  <si>
    <t>Waste-to-Resources 2017 : 7. Internationale Tagung MBA, Sortierung und Recycling. Rohstoffe und Energie aus Abfällen</t>
  </si>
  <si>
    <t>TD785.W378 2017</t>
  </si>
  <si>
    <t>Refuse and refuse disposal--Congresses.</t>
  </si>
  <si>
    <t>Progress Toward Restoring the Everglades : The Sixth Biennial Review - 2016</t>
  </si>
  <si>
    <t>National Academies of Sciences, Engineering, and Medicine;Division on Earth and Life Studies;Board on Environmental Studies and Toxicology;Water Science and Technology Board;Committee on Independent Scientific Review of Everglades Restoration Progress</t>
  </si>
  <si>
    <t>Political Science; Environmental Studies</t>
  </si>
  <si>
    <t>Cultural Heritage Tourism : Five Steps for Success and Sustainability</t>
  </si>
  <si>
    <t>Hargrove, Cheryl M.</t>
  </si>
  <si>
    <t>G156.5.H47.H374 2017</t>
  </si>
  <si>
    <t>Heritage tourism</t>
  </si>
  <si>
    <t>How to Thrive in the Next Economy : Designing Tomorrow's World Today</t>
  </si>
  <si>
    <t>Thackara, John</t>
  </si>
  <si>
    <t>HC79.E5 .T433 2017</t>
  </si>
  <si>
    <t>Environmental economics.</t>
  </si>
  <si>
    <t>World Regional and Cultural Footprints and Environmental Sustainability : Analysis of Socioeconomic Determinants</t>
  </si>
  <si>
    <t>Aka, Ebenezer O.</t>
  </si>
  <si>
    <t>HC79.E5.A33 2017</t>
  </si>
  <si>
    <t>Chinese Research Perspectives on the Environment, Special Volume : Annual Review of Low-Carbon Development in China (2013)</t>
  </si>
  <si>
    <t>Chinese Research Perspectives Ser.</t>
  </si>
  <si>
    <t>Qi, Ye</t>
  </si>
  <si>
    <t>HC430.E5 .C456 2017</t>
  </si>
  <si>
    <t>Sustainable development-China. ; Energy conservation-China. ; Architecture and energy conservation-China.</t>
  </si>
  <si>
    <t>Antarctic Sea Ice Variability in the Southern Ocean-Climate System : Proceedings of a Workshop</t>
  </si>
  <si>
    <t>National Academies of Sciences, Engineering, and Medicine;Division on Earth and Life Studies;Ocean Studies Board;Polar Research Board;Thomas, Katie;Macalady, Alison</t>
  </si>
  <si>
    <t>Science: Geology; Science: Physics</t>
  </si>
  <si>
    <t>Multifunctional Agriculture : Achieving Sustainable Development in Africa</t>
  </si>
  <si>
    <t>Leakey, Roger</t>
  </si>
  <si>
    <t>S494.5.A45$b.L435 2017</t>
  </si>
  <si>
    <t>Between the World and the Urban Classroom</t>
  </si>
  <si>
    <t>Sirrakos Jr., George;Emdin, Christopher</t>
  </si>
  <si>
    <t>LC5135.A2.B489 2017</t>
  </si>
  <si>
    <t>Education, Urban--Social aspects.</t>
  </si>
  <si>
    <t>Sustainable and Solidary Education : Reflections and Practices</t>
  </si>
  <si>
    <t>Resceanu, Alina Stela;Tilea, Monica;Duta, Oana-Adriana</t>
  </si>
  <si>
    <t>LC1099.S87 2017</t>
  </si>
  <si>
    <t>Dress [with] Sense : The Practical Guide to a Conscious Closet</t>
  </si>
  <si>
    <t>Dean, Christina;Tärneberg, Sofia;Lane, Hannah;Redress (Firm) Staff</t>
  </si>
  <si>
    <t>TT507$b.D436 2017</t>
  </si>
  <si>
    <t>DESIGN / Fashion &amp; Accessories.</t>
  </si>
  <si>
    <t>Smart Technologies for Sustainable Smallholder Agriculture : Upscaling in Developing Countries</t>
  </si>
  <si>
    <t>Chikoye, David;Gondwe, Theresse;Nhamo, Nhamo;Chikoye, David;Gondwe, Theresse;Nhamo, Nhamo</t>
  </si>
  <si>
    <t>HD1476.D44.S637 2017</t>
  </si>
  <si>
    <t>Farms, Small--Developing countries.</t>
  </si>
  <si>
    <t>Gamification, Serious Games, Simulations, and Immersive Learning Environments in Knowledge Management Initiatives</t>
  </si>
  <si>
    <t>World Journal of Science, Technology and Sustainable Development</t>
  </si>
  <si>
    <t>Ahmed, Allam;Sutton, Michael</t>
  </si>
  <si>
    <t>T58.64.G365 2017</t>
  </si>
  <si>
    <t>Information technology--Management--Periodicals.</t>
  </si>
  <si>
    <t>#FormativeTech : Meaningful, Sustainable, and Scalable Formative Assessment with Technology</t>
  </si>
  <si>
    <t>Burns, Monica</t>
  </si>
  <si>
    <t>International Journal of Social Ecology and Sustainable Development (IJSESD) Volume 8, Issue 2</t>
  </si>
  <si>
    <t>IGI Publishing</t>
  </si>
  <si>
    <t>HM861.C373 2017</t>
  </si>
  <si>
    <t>International Journal of Sustainable Economies Management (IJSEM) Volume 6, Issue 2</t>
  </si>
  <si>
    <t>HC79.E5.D876 2017eb</t>
  </si>
  <si>
    <t>Sustainable development±vPeriodicals.</t>
  </si>
  <si>
    <t>Sustainable Local Energy Planning and Decision Making : Emerging Research and Opportunities</t>
  </si>
  <si>
    <t>Marinakis, Vangelis</t>
  </si>
  <si>
    <t>TJ163.3.M375 2017</t>
  </si>
  <si>
    <t>Energy conservation--Planning.</t>
  </si>
  <si>
    <t>Handbook of Grape Processing By-Products : Sustainable Solutions</t>
  </si>
  <si>
    <t>TP548.H363 2017</t>
  </si>
  <si>
    <t>Supply Chain Ethics : Using CSR and Sustainability to Create Competitive Advantage</t>
  </si>
  <si>
    <t>Manners-Bell, John</t>
  </si>
  <si>
    <t>HD38.5.M36397 2017</t>
  </si>
  <si>
    <t>Business logistics - Moral and ethical aspects</t>
  </si>
  <si>
    <t>Materials for a Healthy, Ecological and Sustainable Built Environment : Principles for Evaluation</t>
  </si>
  <si>
    <t>Petrovic, Emina K.;Vale, Brenda;Zari, Maibritt Pedersen</t>
  </si>
  <si>
    <t>Engineering: Construction; Engineering: Environmental; Engineering</t>
  </si>
  <si>
    <t>TD196.B85.P487 2017</t>
  </si>
  <si>
    <t>Building materials--Environmental aspects.</t>
  </si>
  <si>
    <t>Handbook of Research on Policies and Practices for Sustainable Economic Growth and Regional Development</t>
  </si>
  <si>
    <t>Korres, George M.;Kourliouros, Elias;Michailidis, Maria P.</t>
  </si>
  <si>
    <t>GE195 .K677 2017</t>
  </si>
  <si>
    <t>Soil Mapping and Process Modeling for Sustainable Land Use Management</t>
  </si>
  <si>
    <t>Pereira, Paulo;Brevik, Erik;Munoz-Rojas, Miriam;Miller, Bradley;Munoz-Rojas, Miriam;Miller, Bradley</t>
  </si>
  <si>
    <t>S592.147.S655 2017</t>
  </si>
  <si>
    <t>Soil mapping.</t>
  </si>
  <si>
    <t>Effective Monitoring to Evaluate Ecological Restoration in the Gulf of Mexico</t>
  </si>
  <si>
    <t>National Academies of Sciences, Engineering, and Medicine;Division on Earth and Life Studies;Water Science and Technology Board;Ocean Studies Board;Committee on Effective Approaches for Monitoring and Assessing Gulf of Mexico Restoration Activities</t>
  </si>
  <si>
    <t>Science: Geology; Environmental Studies</t>
  </si>
  <si>
    <t>Sustainability and Welfare Policy in European Market Economies</t>
  </si>
  <si>
    <t>Sofia Conferences on Social and Economic Development in Europe</t>
  </si>
  <si>
    <t>Plöhn, Jürgen;Chobanov, George</t>
  </si>
  <si>
    <t>HC240.9.E5.S878 2017</t>
  </si>
  <si>
    <t>361.6/1094</t>
  </si>
  <si>
    <t>Sustainable development--Europe--Congresses.</t>
  </si>
  <si>
    <t>Sustainable ICT Adoption and Integration for Socio-Economic Development</t>
  </si>
  <si>
    <t>Ayo, Charles K.;Mbarika, Victor</t>
  </si>
  <si>
    <t>JF1525.A8 S92</t>
  </si>
  <si>
    <t>LCSH: Internet in public administration--Developing countries. |</t>
  </si>
  <si>
    <t>Arctic Tourism Experiences : Production, Consumption and Sustainability</t>
  </si>
  <si>
    <t>Lee, Young-Sook;Weaver, David;Prebensen, Nina K</t>
  </si>
  <si>
    <t>G155.A726.A738 2017</t>
  </si>
  <si>
    <t>Tourism--Arctic regions.</t>
  </si>
  <si>
    <t>The science policy gap regarding informed decisions in forest policy and management. What scientific information are policy makers really interested in? : Proceedings of the 6th International DAAD Workshop</t>
  </si>
  <si>
    <t>Fehrmann, Lutz;Kleinn, Alina;Kleinn, Christoph</t>
  </si>
  <si>
    <t>SD431.S354 2017</t>
  </si>
  <si>
    <t>Forest monitoring.</t>
  </si>
  <si>
    <t>Buildings and Environment - Energy Performance, Smart Materials and Buildings</t>
  </si>
  <si>
    <t>Kalousek, Milos;Struhala, Karel</t>
  </si>
  <si>
    <t>Managerial Strategies and Green Solutions for Project Sustainability</t>
  </si>
  <si>
    <t>Tam, Gilman C.K.</t>
  </si>
  <si>
    <t>HD69.P75 T35</t>
  </si>
  <si>
    <t>LCSH: Project management. | Sustainability.</t>
  </si>
  <si>
    <t>Mutations de société et réponses du droit : Perspectives franco-asiatiques comparées</t>
  </si>
  <si>
    <t>Cultures juridiques et politiques</t>
  </si>
  <si>
    <t>Aidarbayev, Sagyngaliy;Chabal, Pierre;Sairambaeva, Zhuldyz</t>
  </si>
  <si>
    <t>HC79.E5.M883 2017eb</t>
  </si>
  <si>
    <t>Envisioning futures for environmental and sustainability education</t>
  </si>
  <si>
    <t>Corcoran, Peter Blaze;Weakland, Joseph P.;Wals, Arjen E.J.</t>
  </si>
  <si>
    <t>GE70.E585 2017</t>
  </si>
  <si>
    <t>Energy Efficiency in Strategy of Sustainable Production Vol. II</t>
  </si>
  <si>
    <t>Franke, Jörg;Kreitlein, Sven</t>
  </si>
  <si>
    <t>Engineering Tools and Solutions for Sustainable Transportation Planning</t>
  </si>
  <si>
    <t>Knoflacher, Hermann;Ocalir-Akunal, Ebru V.</t>
  </si>
  <si>
    <t>Business/Management; Engineering; Engineering: Civil</t>
  </si>
  <si>
    <t>TA1145.K564 2017</t>
  </si>
  <si>
    <t>388.01/1</t>
  </si>
  <si>
    <t>Transportation engineering.</t>
  </si>
  <si>
    <t>Special Concrete and Composites 2016</t>
  </si>
  <si>
    <t>Engineering</t>
  </si>
  <si>
    <t>Kompetenzentwicklung zum nachhaltigen Wirtschaften : Eine Laengsschnittstudie in der kaufmaennischen Ausbildung</t>
  </si>
  <si>
    <t>Konzepte des Lehrens und Lernens</t>
  </si>
  <si>
    <t>Michaelis, Christian</t>
  </si>
  <si>
    <t>HC79.E5.M534 2017eb</t>
  </si>
  <si>
    <t>Green Composites : Waste and Nature-Based Materials for a Sustainable Future</t>
  </si>
  <si>
    <t>Baillie, Caroline;Jayasinghe, Randika</t>
  </si>
  <si>
    <t>TA418.9.C6.G744 2017</t>
  </si>
  <si>
    <t>620.1/18</t>
  </si>
  <si>
    <t>Sustainable Use of Water Resources : Proceedings of the Expert Workshop, July 3-8, 2016 – Kisumu, Kenya</t>
  </si>
  <si>
    <t>Engineering: Environmental; Engineering; Environmental Studies; Economics</t>
  </si>
  <si>
    <t>TD201.P763 2016</t>
  </si>
  <si>
    <t>Water-supply--Congresses.</t>
  </si>
  <si>
    <t>Wastewater Treatment and Reuse for Metropolitan Regions and Small Cities in Developing Countries : Proceedings of the Regional Workshop, September 11-17, 2016 – Recife, Brazil</t>
  </si>
  <si>
    <t>Science; Environmental Studies; Economics; Science: Geology</t>
  </si>
  <si>
    <t>GB659.5.S72</t>
  </si>
  <si>
    <t>Water-Management</t>
  </si>
  <si>
    <t>Shale Gas : Exploration and Environmental and Economic Impacts</t>
  </si>
  <si>
    <t>Dayal, Anurodh Mohan;Mani, Devleena</t>
  </si>
  <si>
    <t>Engineering; Engineering: Mining; Engineering: Environmental</t>
  </si>
  <si>
    <t>TD195.G3.S53 2017</t>
  </si>
  <si>
    <t>Shale gas--Environmental aspects.</t>
  </si>
  <si>
    <t>Green Marketing and Environmental Responsibility in Modern Corporations</t>
  </si>
  <si>
    <t>Esakki, Thangasamy</t>
  </si>
  <si>
    <t>HF5413 .G7214</t>
  </si>
  <si>
    <t>LCSH: Green marketing. | Social responsibility of business..</t>
  </si>
  <si>
    <t>Superconductor Insulator Superconductor Mixer Devices with Gold Energy Relaxation Layers</t>
  </si>
  <si>
    <t>Selig, Stefan</t>
  </si>
  <si>
    <t>Engineering; Science; Engineering: Electrical; Science: Physics</t>
  </si>
  <si>
    <t>QC761.3.S455 2016</t>
  </si>
  <si>
    <t>Superconducting magnets.</t>
  </si>
  <si>
    <t>Measuring Sustainable Development and Green Investments in Contemporary Economies</t>
  </si>
  <si>
    <t>Mieila, Mihai</t>
  </si>
  <si>
    <t>HC79.E5 M426</t>
  </si>
  <si>
    <t>LCSH: Sustainable development. | Economic</t>
  </si>
  <si>
    <t>Handbook of Biophilic City Planning and Design</t>
  </si>
  <si>
    <t>International Journal of Social Ecology and Sustainable Development (IJSESD) Volume 8, Issue 1</t>
  </si>
  <si>
    <t>International Journal of Sustainable Economies Management (IJSEM) Volume 6, Issue 1</t>
  </si>
  <si>
    <t>Sustainable development--Periodicals.</t>
  </si>
  <si>
    <t>International Journal of Sustainable Entrepreneurship and Corporate Social Responsibility (IJSECSR) Volume 2, Issue 1</t>
  </si>
  <si>
    <t>HC79.E5 .G878 2018</t>
  </si>
  <si>
    <t>Business Infrastructure for Sustainability in Developing Economies</t>
  </si>
  <si>
    <t>Ray, Nilanjan</t>
  </si>
  <si>
    <t>HC59.7 .B8655</t>
  </si>
  <si>
    <t>LCSH: Economic development--Developing countries. | Infrastructure</t>
  </si>
  <si>
    <t>Sustainable Entrepreneurship and Investments in the Green Economy</t>
  </si>
  <si>
    <t>Jean Vasile, Andrei;Nicolò, Domenico</t>
  </si>
  <si>
    <t>HC79.E5 S86862</t>
  </si>
  <si>
    <t>LCSH: Sustainable development. | Entrepreneurship--Environmental</t>
  </si>
  <si>
    <t>Handbook of Research on Unemployment and Labor Market Sustainability in the Era of Globalization</t>
  </si>
  <si>
    <t>Yenilmez, Füsun;Kılıç, Esin</t>
  </si>
  <si>
    <t>HD5706.H3624 2017</t>
  </si>
  <si>
    <t>Labor market.</t>
  </si>
  <si>
    <t>Economic Dynamics and Sustainable Development - Resources, Factors, Structures and Policies : Proceedings ESPERA 2015 - Part 1 and Part 2</t>
  </si>
  <si>
    <t>Andrei, Jean-Vasile;Ioan-Franc, Valeriu;Chivu, Luminita;Ciutacu, Constantin</t>
  </si>
  <si>
    <t>Olive Mill Waste : Recent Advances for Sustainable Management</t>
  </si>
  <si>
    <t>Engineering; Home Economics; Engineering: Environmental</t>
  </si>
  <si>
    <t>TD795.7.O458 2017</t>
  </si>
  <si>
    <t>Waste disposal in the ground.</t>
  </si>
  <si>
    <t>Ethics and Sustainability in Global Supply Chain Management</t>
  </si>
  <si>
    <t>TS161 .E84</t>
  </si>
  <si>
    <t>LCSH: Industrial ecology. | Materials management--Environmental</t>
  </si>
  <si>
    <t>Applied Environmental Materials Science for Sustainability</t>
  </si>
  <si>
    <t>Kobayashi, Takaomi</t>
  </si>
  <si>
    <t>TA418.5.K633 2017</t>
  </si>
  <si>
    <t>Conservation Agriculture for Africa : Building Resilient Farming Systems in a Changing Climate</t>
  </si>
  <si>
    <t>Kassam, Amir;Kassam, Amir;Mkomwa, Saidi;Mkomwa, Saidi;Friedrich, Theodor;Blignaut, J N;Boulal, H;Bunch, Roland;Bunderson, Trent W;Dennis, Dennis</t>
  </si>
  <si>
    <t>S472.A1.C66 2017eb</t>
  </si>
  <si>
    <t>Sustainable agriculture--Africa.</t>
  </si>
  <si>
    <t>Clean Energy for Sustainable Development : Comparisons and Contrasts of New Approaches</t>
  </si>
  <si>
    <t>Rasul, Mohammad;Azad, Abul Kalam;Sharma, Subhash;Mohammad, Rasul;Azad, Abul Kalam;Sharma, Subhash</t>
  </si>
  <si>
    <t>Economics; Engineering; Environmental Studies; Engineering: Mechanical</t>
  </si>
  <si>
    <t>TJ808.C543 2017</t>
  </si>
  <si>
    <t>Nachhaltiger Konsum und Lebensstile in der Schweiz : Eine soziologische Betrachtung individueller Selbstwahrnehmung des «Lifestyle of Health and Sustainability»</t>
  </si>
  <si>
    <t>Peter Lang AG, Internationaler Verlag der Wissenschaften</t>
  </si>
  <si>
    <t>Social Strategies</t>
  </si>
  <si>
    <t>Markoni, Evelyn</t>
  </si>
  <si>
    <t>GE196.M375 2017</t>
  </si>
  <si>
    <t>Atmospheric Impacts of the Oil and Gas Industry</t>
  </si>
  <si>
    <t>Olaguer, Eduardo P.</t>
  </si>
  <si>
    <t>TD195.P4.O434 2017</t>
  </si>
  <si>
    <t>333.8/232</t>
  </si>
  <si>
    <t>Petroleum industry and trade--Environmental aspects.</t>
  </si>
  <si>
    <t>Collective Creativity for Responsible and Sustainable Business Practice</t>
  </si>
  <si>
    <t>Advances in Business Strategy and Competitive Advantage</t>
  </si>
  <si>
    <t>HD2963 .C65</t>
  </si>
  <si>
    <t>LCSH: Cooperative societies.</t>
  </si>
  <si>
    <t>Prospects for Resilience : Insights from New York City's Jamaica Bay</t>
  </si>
  <si>
    <t>Sanderson, Eric W.;Solecki, William D.;Waldman, John R.;Parris, Adam S.</t>
  </si>
  <si>
    <t>338.973/07</t>
  </si>
  <si>
    <t>Sustainable Potato Production and the Impact of Climate Change</t>
  </si>
  <si>
    <t>Practice, Progress, and Proficiency in Sustainability</t>
  </si>
  <si>
    <t>Londhe, Sunil</t>
  </si>
  <si>
    <t>SB211.P8.S87 2017</t>
  </si>
  <si>
    <t>635/.21</t>
  </si>
  <si>
    <t>Potatoes.</t>
  </si>
  <si>
    <t>Pathways to Urban Sustainability : Challenges and Opportunities for the United States</t>
  </si>
  <si>
    <t>National Academies of Sciences, Engineering, and Medicine;Policy and Global Affairs;Science and Technology for Sustainability Program;Committee on Pathways to Urban Sustainability: Challenges and Opportunities</t>
  </si>
  <si>
    <t>HT167.P384 2016</t>
  </si>
  <si>
    <t>City planning--United States.</t>
  </si>
  <si>
    <t>Holistic Management, Third Edition : A Commonsense Revolution to Restore Our Environment</t>
  </si>
  <si>
    <t>Savory, Allan;Butterfield, Jody</t>
  </si>
  <si>
    <t>Sustaining Russia's Arctic Cities : Resource Politics, Migration, and Climate Change</t>
  </si>
  <si>
    <t>HT145.R8 S87 2016</t>
  </si>
  <si>
    <t>Handbook of Green Building Design and Construction : LEED, BREEAM, and Green Globes</t>
  </si>
  <si>
    <t>Kubba, Sam</t>
  </si>
  <si>
    <t>TH880.K833 2017</t>
  </si>
  <si>
    <t>Sustainable buildings--Design and construction--Handbooks, manuals, etc.</t>
  </si>
  <si>
    <t>HD9000.5.A383 2016</t>
  </si>
  <si>
    <t>Sustainable Construction Materials : Sewage Sludge Ash</t>
  </si>
  <si>
    <t>Dhir, Ravindra K.;Ghataora, Gurmel S.;Lynn, Ciaran J.</t>
  </si>
  <si>
    <t>TA403.D457 2017</t>
  </si>
  <si>
    <t>Building materials.</t>
  </si>
  <si>
    <t>Sustainable Protein Sources</t>
  </si>
  <si>
    <t>Nadathur, Sudarshan;Wanasundara, Janitha P. D.;Scanlin, Laurie</t>
  </si>
  <si>
    <t>Agriculture; Home Economics</t>
  </si>
  <si>
    <t>S494.5.S86.S878 2017</t>
  </si>
  <si>
    <t>Environmental Sustainability and Climate Change Adaptation Strategies</t>
  </si>
  <si>
    <t>Advances in Environmental Engineering and Green Technologies</t>
  </si>
  <si>
    <t>Ganpat, Wayne;Isaac, Wendy-Ann</t>
  </si>
  <si>
    <t>HC79.E5.G367 2017</t>
  </si>
  <si>
    <t>Concrete under Severe Conditions - Environment and Loading</t>
  </si>
  <si>
    <t>Colombo, Matteo;di Prisco, Marco</t>
  </si>
  <si>
    <t>Aluminium Constructions: Sustainability, Durability and Structural Advantages</t>
  </si>
  <si>
    <t>Mazzolani, Federico M.;Bellucci, Francesco;Faggiano, Beatrice;Squillace, Antonino</t>
  </si>
  <si>
    <t>Engineering; Architecture</t>
  </si>
  <si>
    <t>Blended Learning in Action : A Practical Guide Toward Sustainable Change</t>
  </si>
  <si>
    <t>Tucker, Catlin R.;Wycoff, Tiffany;Green, Jason T.</t>
  </si>
  <si>
    <t>LB1028.5 .T835 2017</t>
  </si>
  <si>
    <t>Blended learning. ; Educational change.</t>
  </si>
  <si>
    <t>Technology and Innovation for Sustainable Development</t>
  </si>
  <si>
    <t>Yimnirun, Rattikorn</t>
  </si>
  <si>
    <t>Economics; Engineering: General</t>
  </si>
  <si>
    <t>Sustainable Construction Materials : Copper Slag</t>
  </si>
  <si>
    <t>Dhir, Ravindra K.;Brito, Jorge de;Mangabhai, Raman;Lye, Chao Qun</t>
  </si>
  <si>
    <t>Science: Chemistry; Engineering; Engineering: General; Science</t>
  </si>
  <si>
    <t>QD181.C9.S878 2017</t>
  </si>
  <si>
    <t>Copper slag</t>
  </si>
  <si>
    <t>Handbook of Low Carbon Concrete</t>
  </si>
  <si>
    <t>Nazari, Ali;Sanjayan, Jay G.</t>
  </si>
  <si>
    <t>TA681.N39 2017</t>
  </si>
  <si>
    <t>Concrete construction--Environmental aspects.</t>
  </si>
  <si>
    <t>International Journal of Social Ecology and Sustainable Development (IJSESD) Volume 7, Issue 4</t>
  </si>
  <si>
    <t>HM861.C37 2016</t>
  </si>
  <si>
    <t>International Journal of Sustainable Economies Management (IJSEM) Volume 5, Issue 4</t>
  </si>
  <si>
    <t>S494.5.E5.I584 2016</t>
  </si>
  <si>
    <t>Agriculture and energy.</t>
  </si>
  <si>
    <t>TP248.3.L58 2017</t>
  </si>
  <si>
    <t>Integrating Selected Concepts and Methods to Enhance Corporate Sustainability</t>
  </si>
  <si>
    <t>Nuß, Christian</t>
  </si>
  <si>
    <t>Sustainable Shale Oil and Gas : Analytical Chemistry, Geochemistry, and Biochemistry Methods</t>
  </si>
  <si>
    <t>Rao, Vikram;Knight, Rob;Knight, Rob;Stoner, Brian</t>
  </si>
  <si>
    <t>Science: Geology; Business/Management; Science</t>
  </si>
  <si>
    <t>HC79.E5.R36 2017</t>
  </si>
  <si>
    <t>Oceanographic and Marine Cross-Domain Data Management for Sustainable Development</t>
  </si>
  <si>
    <t>Diviacco, Paolo;Leadbetter, Adam;Glaves, Helen</t>
  </si>
  <si>
    <t>Science: Geology; Science; Economics; Environmental Studies</t>
  </si>
  <si>
    <t>GC1018.5.D585 2017</t>
  </si>
  <si>
    <t>Marine resources--Management--Data processing.</t>
  </si>
  <si>
    <t>Sustainable Materials Science and Technology</t>
  </si>
  <si>
    <t>Advanced Materials Research Ser.</t>
  </si>
  <si>
    <t>de Brito, Paulo Sérgio Duque</t>
  </si>
  <si>
    <t>Redefining Diversity and Dynamics of Natural Resources Management in Asia, Volume 1 : Sustainable Natural Resources Management in Dynamic Asia</t>
  </si>
  <si>
    <t>Shivakoti, Ganesh;Pradhan, Ujjwal;Helmi, Helmi;Helmi, Helmi</t>
  </si>
  <si>
    <t>HC412.5.R43 2017</t>
  </si>
  <si>
    <t>Key Engineering Materials VI</t>
  </si>
  <si>
    <t>Korsunsky, Alexander M.;Makabe, Chobin;Abdul Amir, Haider F.;Nindhia, Tjokorda Gde Tirta</t>
  </si>
  <si>
    <t>Biting the Hands That Feed Us : How Fewer, Smarter Laws Would Make Our Food System More Sustainable</t>
  </si>
  <si>
    <t>Linnekin, Baylen J.;Broad Leib, Emily</t>
  </si>
  <si>
    <t>HD9006</t>
  </si>
  <si>
    <t>Afrika: Radikal neu denken? : Alternative Pfade fuer Politik in Afrika. Redaktion: Lotte Blumenberg und Karla Kutzner</t>
  </si>
  <si>
    <t>Walther, Christian;Hirsbrunner, Stefanie</t>
  </si>
  <si>
    <t>HC800.Z9.A375 2016</t>
  </si>
  <si>
    <t>Sustainable development--Africa.</t>
  </si>
  <si>
    <t>Biosensors for Sustainable Food - New Opportunities and Technical Challenges</t>
  </si>
  <si>
    <t>Scognamiglio, Viviana;Rea, Giuseppina;Arduini, Fabiana;Palleschi, Giuseppe</t>
  </si>
  <si>
    <t>TP248.65.F66.B567 2016</t>
  </si>
  <si>
    <t>Sustainable Water Management in Smallholder Farming : Theory and Practice</t>
  </si>
  <si>
    <t>Finley, Sara</t>
  </si>
  <si>
    <t>S494.5.W3.F56 2016eb</t>
  </si>
  <si>
    <t>Water-supply, Agricultural--Management.</t>
  </si>
  <si>
    <t>Energy Sources : Fundamentals of Chemical Conversion Processes and Applications</t>
  </si>
  <si>
    <t>Viswanathan, Balasubramanian</t>
  </si>
  <si>
    <t>TD195.E49.V579 2017eb</t>
  </si>
  <si>
    <t>Power resources--Environmental aspects.</t>
  </si>
  <si>
    <t>Opportunities to Improve Representation of Clouds and Aerosols in Climate Models with Classified Observing Systems : Proceedings of a Workshop: Abbreviated Version</t>
  </si>
  <si>
    <t>National Academies of Sciences, Engineering, and Medicine;Division on Earth and Life Studies;Board on Atmospheric Sciences and Climate;Committee on Opportunities to Improve the Representation of Clouds and Aerosols in Climate Models with National Collection Systems: A Workshop;Thomas, Katie</t>
  </si>
  <si>
    <t>Science; Science: Physics; Science: Chemistry</t>
  </si>
  <si>
    <t>QC882$b.T466 2016</t>
  </si>
  <si>
    <t>Aerosols.</t>
  </si>
  <si>
    <t>Analyzing the Relationship between Corporate Social Responsibility and Foreign Direct Investment</t>
  </si>
  <si>
    <t>Ojo, Marianne</t>
  </si>
  <si>
    <t>HD60.O36 2016</t>
  </si>
  <si>
    <t>Sustainability of Construction Materials</t>
  </si>
  <si>
    <t>Khatib, Jamal</t>
  </si>
  <si>
    <t>TD196.B85</t>
  </si>
  <si>
    <t>Transitioning Toward Sustainability : Advancing the Scientific Foundation: Proceedings of a Workshop</t>
  </si>
  <si>
    <t>National Academies of Sciences, Engineering, and Medicine;Division on Earth and Life Studies;Board on Atmospheric Sciences and Climate;Policy and Global Affairs;Science and Technology for Sustainability Program;Committee on Transition Toward Sustainability After 15 Years: Where Do We Stand in Advancing the Scientific Foundation;Macalady, Alison;Anderson, Ryan;Romitti, Yasmin;Brose, Dominic</t>
  </si>
  <si>
    <t>Agriculture; Environmental Studies; Political Science</t>
  </si>
  <si>
    <t>Tropentag 2016 : Solidarity in a competing world - fair use of resources</t>
  </si>
  <si>
    <t>Freyer, Bernhard;Tielkes, Eric</t>
  </si>
  <si>
    <t>HM126.T767 2016</t>
  </si>
  <si>
    <t>Solidarity.</t>
  </si>
  <si>
    <t>Next Generation Earth System Prediction : Strategies for Subseasonal to Seasonal Forecasts</t>
  </si>
  <si>
    <t>National Academies of Sciences, Engineering, and Medicine;Division on Earth and Life Studies;Ocean Studies Board;Board on Atmospheric Sciences and Climate;Committee on Developing a U.S. Research Agenda to Advance Subseasonal to Seasonal Forecasting</t>
  </si>
  <si>
    <t>Frontiers in Decadal Climate Variability : Proceedings of a Workshop</t>
  </si>
  <si>
    <t>National Academies of Sciences, Engineering, and Medicine;Division on Earth and Life Studies;Ocean Studies Board;Board on Atmospheric Sciences and Climate;Committee on Frontiers in Decadal Climate Variability: A Workshop;Huddleston, Nancy;Purcell, Amanda</t>
  </si>
  <si>
    <t>Innovative Materials and Technologies</t>
  </si>
  <si>
    <t>Al Bakri Abdullah, Mohd Mustafa;Zarina, Yahya;Mohd Salleh, Mohd Arif Anuar</t>
  </si>
  <si>
    <t>Sustainable Hydrogen Production</t>
  </si>
  <si>
    <t>Dincer, Ibrahim;Zamfirescu, Calin</t>
  </si>
  <si>
    <t>QD181.H1.D563 2016eb</t>
  </si>
  <si>
    <t>Hydrogen.</t>
  </si>
  <si>
    <t>Applying Nanotechnology for Environmental Sustainability</t>
  </si>
  <si>
    <t>Joo, Sung Hee</t>
  </si>
  <si>
    <t>Engineering: General; Engineering; Engineering: Environmental</t>
  </si>
  <si>
    <t>TD196.N36 A67</t>
  </si>
  <si>
    <t>620.1/150286</t>
  </si>
  <si>
    <t>Nanostructured materials--Environmental aspects</t>
  </si>
  <si>
    <t>Sustainable Nanosystems Development, Properties, and Applications</t>
  </si>
  <si>
    <t>Putz, Mihai V.;Mirica, Marius Constantin</t>
  </si>
  <si>
    <t>TA418.9.N35 S885</t>
  </si>
  <si>
    <t>Green Supply Chain Management for Sustainable Business Practice</t>
  </si>
  <si>
    <t>Khan, Mehmood;Hussain, Matloub;Ajmal, Mian M.</t>
  </si>
  <si>
    <t>TS161 .G753</t>
  </si>
  <si>
    <t>Materials management--Environmental aspects</t>
  </si>
  <si>
    <t>Crowdfunding for Sustainable Entrepreneurship and Innovation</t>
  </si>
  <si>
    <t>Vassallo, Walter</t>
  </si>
  <si>
    <t>HG4751 .C786</t>
  </si>
  <si>
    <t>Crowdfunding</t>
  </si>
  <si>
    <t>Achievements of Mechanical Science and Current Technological Innovations for Sustainable Development</t>
  </si>
  <si>
    <t>Sutardi, Sutardi;Pramujati, Bambang;Dubay, Rickey;Abu-Ayyad, Mamoun;Lai, Jiing Yih</t>
  </si>
  <si>
    <t>Insects As Sustainable Food Ingredients : Production, Processing and Food Applications</t>
  </si>
  <si>
    <t>Dossey, Aaron T.;Morales-Ramos, Juan A.;Rojas, M. Guadalupe</t>
  </si>
  <si>
    <t>TX388.I5 .I574 2016</t>
  </si>
  <si>
    <t>Edible insects. ; Cooking (Insects) ; Sustainability.</t>
  </si>
  <si>
    <t>Living on Thin Ice : The Gwich'in Natives of Alaska</t>
  </si>
  <si>
    <t>Dinero, Steven C.</t>
  </si>
  <si>
    <t>E99.K84 D56 2016</t>
  </si>
  <si>
    <t>Arctic Village (Alaska)--Economic conditions.</t>
  </si>
  <si>
    <t>International Journal of Social Ecology and Sustainable Development (IJSESD) Volume 7, Issue 3</t>
  </si>
  <si>
    <t>HM861 -- .C373 2016eb</t>
  </si>
  <si>
    <t>International Journal of Sustainable Economies Management (IJSEM) Volume 5, Issue 3</t>
  </si>
  <si>
    <t>HC79.E5.D876 2016</t>
  </si>
  <si>
    <t>International Journal of Sustainable Entrepreneurship and Corporate Social Responsibility (IJSECSR) Volume 1, Issue 2</t>
  </si>
  <si>
    <t>Gurtu, Amulya;Chiappetta Jabbour, Charbel Jose</t>
  </si>
  <si>
    <t>HD60.G878 2017</t>
  </si>
  <si>
    <t>Social entrepreneurship--Periodicals.</t>
  </si>
  <si>
    <t>Academic Librarian 4 Sustainable Academic Libraries : Now and Beyond (Part Two)</t>
  </si>
  <si>
    <t>O'Connor, Steve</t>
  </si>
  <si>
    <t>Z682.4.C63</t>
  </si>
  <si>
    <t>Academic librarians.</t>
  </si>
  <si>
    <t>Research Handbook on Biodiversity and Law</t>
  </si>
  <si>
    <t>Bowman, Michael;Davies, Peter;Goodwin, Edward</t>
  </si>
  <si>
    <t>K3488.R474 2016</t>
  </si>
  <si>
    <t>344/.046</t>
  </si>
  <si>
    <t>Biodiversity conservation--Law and legislation.</t>
  </si>
  <si>
    <t>Research Handbook on REDD-Plus and International Law</t>
  </si>
  <si>
    <t>Voigt, Christina</t>
  </si>
  <si>
    <t>K3884.R474 2016</t>
  </si>
  <si>
    <t>346.04/6952</t>
  </si>
  <si>
    <t>Forest conservation--Law and legislation.</t>
  </si>
  <si>
    <t>Local People´s Demand for Forest Ecosystem Services and Drivers of Change in Vo Nhai District, Northern Vietnam</t>
  </si>
  <si>
    <t>Nguyen, Thi Phuong Mai</t>
  </si>
  <si>
    <t>QH541.15.E267</t>
  </si>
  <si>
    <t>Ecosystem services-Vietnam</t>
  </si>
  <si>
    <t>Handbook of Research on Green Economic Development Initiatives and Strategies</t>
  </si>
  <si>
    <t>Erdoğdu, M. Mustafa;Arun, Thankom;Ahmad, Imran Habib</t>
  </si>
  <si>
    <t>HC79.E5 H3285384</t>
  </si>
  <si>
    <t>Academic Librarian 4 Sustainable Academic Libraries : Now and Beyond (Part One)</t>
  </si>
  <si>
    <t>Z675.U5</t>
  </si>
  <si>
    <t>Academic libraries--Relations with faculty and curriculum.</t>
  </si>
  <si>
    <t>Materials for Sustainable Built Environment</t>
  </si>
  <si>
    <t>Kamal, Mohammad Arif</t>
  </si>
  <si>
    <t>Sustainability in the Design, Synthesis and Analysis of Chemical Engineering Processes</t>
  </si>
  <si>
    <t>Ruiz Mercado, Gerardo;Cabezas, Heriberto</t>
  </si>
  <si>
    <t>TP155.7 -- .S878 2016eb</t>
  </si>
  <si>
    <t>Environmental Materials and Waste : Resource Recovery and Pollution Prevention</t>
  </si>
  <si>
    <t>Prasad, Majeti Narasimha Vara;Shih, Kaimin</t>
  </si>
  <si>
    <t>TD793 -- .E585 2016eb</t>
  </si>
  <si>
    <t>Refuse and refuse disposal--Environmental aspects.</t>
  </si>
  <si>
    <t>Principles and Obstacles for Sharing Data from Environmental Health Research : Workshop Summary</t>
  </si>
  <si>
    <t>National Academies of Sciences, Engineering, and Medicine;Health and Medicine Division;Board on Population Health and Public Health Practice;Roundtable on Environmental Health Sciences, Research, and Medicine;Rusch, Erin;Pool, Robert</t>
  </si>
  <si>
    <t>Environmental Studies; Medicine</t>
  </si>
  <si>
    <t>Environment and Development : Basic Principles, Human Activities, and Environmental Implications</t>
  </si>
  <si>
    <t>Poulopoulos, Stavros;Inglezakis, Vassilis</t>
  </si>
  <si>
    <t>HC79.E5 -- .E585 2016eb</t>
  </si>
  <si>
    <t>Performance of forest trees and mycorrhizas in response to varying nutrients</t>
  </si>
  <si>
    <t>Yang, Nan</t>
  </si>
  <si>
    <t>QK604.2.M92</t>
  </si>
  <si>
    <t>Mycorrhizas</t>
  </si>
  <si>
    <t>Earth Democracy : Justice, Sustainability and Peace</t>
  </si>
  <si>
    <t>Shiva, Vandana</t>
  </si>
  <si>
    <t>HM671.S558 2016eb</t>
  </si>
  <si>
    <t>Social justice.</t>
  </si>
  <si>
    <t>Strategic Management of Sustainable Manufacturing Operations</t>
  </si>
  <si>
    <t>Dubey, Rameshwar;Gunasekaran, Angappa</t>
  </si>
  <si>
    <t>HD38.5 .S767</t>
  </si>
  <si>
    <t>Business logistics--Environmental aspects</t>
  </si>
  <si>
    <t>Refinements to the Methods for Developing Spacecraft Exposure Guidelines</t>
  </si>
  <si>
    <t>National Academies of Sciences, Engineering, and Medicine;Division on Earth and Life Studies;Board on Environmental Studies and Toxicology;Committee on Spacecraft Exposure Guidelines</t>
  </si>
  <si>
    <t>Science: Astronomy; Environmental Studies</t>
  </si>
  <si>
    <t>Engineering for Environment Protection</t>
  </si>
  <si>
    <t>Beniak, Juraj</t>
  </si>
  <si>
    <t>Handbook of Research on Driving Competitive Advantage through Sustainable, Lean, and Disruptive Innovation</t>
  </si>
  <si>
    <t>Al-Hakim, Latif;Wu, Xiaobo;Koronios, Andy;Shou, Yongyi</t>
  </si>
  <si>
    <t>HD45 .H2935</t>
  </si>
  <si>
    <t>Economic Modeling, Analysis, and Policy for Sustainability</t>
  </si>
  <si>
    <t>Goswami, Anandajit;Mishra, Arabinda</t>
  </si>
  <si>
    <t>HD75.6.G679 2016</t>
  </si>
  <si>
    <t>Sustainable development--Econometric models.</t>
  </si>
  <si>
    <t>International Journal of Social Ecology and Sustainable Development (IJSESD) Volume 7, Issue 2</t>
  </si>
  <si>
    <t>HM861 -- .I58 2016eb</t>
  </si>
  <si>
    <t>International Journal of Sustainable Economies Management (IJSEM) Volume 5, Issue 2</t>
  </si>
  <si>
    <t>HC79.E5.I584 2016</t>
  </si>
  <si>
    <t>Sustainable Wireless Network-On-Chip Architectures</t>
  </si>
  <si>
    <t>Murray, Jacob;Wettin, Paul;Pande, Partha Pratim;Shirazi, Behrooz</t>
  </si>
  <si>
    <t>TK7874</t>
  </si>
  <si>
    <t>621.3/815</t>
  </si>
  <si>
    <t>Mountain Tourism : Experiences, Communities, Environments and Sustainable Futures</t>
  </si>
  <si>
    <t>Causevic, Senija;Richins, Harold;Schmidt, Joel;Hull, John;Halpenny, Elizabeth;Martini, Umberto;Nepal, Sanjay;Scherf, Kathleen;Dickson, Tracey J.;Terwiel, Anne</t>
  </si>
  <si>
    <t>G156.5.M68 -- M68 2016eb</t>
  </si>
  <si>
    <t>Mountain tourism.</t>
  </si>
  <si>
    <t>Assessment of Approaches to Updating the Social Cost of Carbon : Phase 1 Report on a near-Term Update</t>
  </si>
  <si>
    <t>Sustainable Logistics and Strategic Transportation Planning</t>
  </si>
  <si>
    <t>Kramberger, Tomaž;Potočan, Vojko;Ipavec, Vesna Mia</t>
  </si>
  <si>
    <t>HD38.5 .S8987</t>
  </si>
  <si>
    <t>Business logistics</t>
  </si>
  <si>
    <t>Globalization and Sustainable Development : A Changing Perspective for Business</t>
  </si>
  <si>
    <t>Oyevaar, Martin;Vazquez-Brust, Diego;Bommel, Harrie W. M. Van</t>
  </si>
  <si>
    <t>Globalization.</t>
  </si>
  <si>
    <t>Emerging Membrane Technology for Sustainable Water Treatment</t>
  </si>
  <si>
    <t>Singh, Rajindar;Hankins, Nick</t>
  </si>
  <si>
    <t>TD442.5</t>
  </si>
  <si>
    <t>628.1/64</t>
  </si>
  <si>
    <t>Membranes (Technology)</t>
  </si>
  <si>
    <t>Materials and Technologies in Construction with Reference to Energy Efficiency and Sustainable Development</t>
  </si>
  <si>
    <t>Engineering; Architecture; Economics</t>
  </si>
  <si>
    <t>Energy Saving and Environmentally Friendly Technologies - Concepts of Sustainable Building</t>
  </si>
  <si>
    <t>Maňková, Lucia</t>
  </si>
  <si>
    <t>Special Concrete and Composites 2015</t>
  </si>
  <si>
    <t>Sustainable Energy from Salinity Gradients</t>
  </si>
  <si>
    <t>Cipollina, Andrea;Micale, Giorgio</t>
  </si>
  <si>
    <t>Engineering; Environmental Studies; Engineering: Mechanical; Economics</t>
  </si>
  <si>
    <t>TJ808</t>
  </si>
  <si>
    <t>Ecological Sustainability in Traditional Sámi Beliefs and Rituals</t>
  </si>
  <si>
    <t>Moderne - Kulturen - Relationen</t>
  </si>
  <si>
    <t>Boekraad, Mardoeke</t>
  </si>
  <si>
    <t>BL980.L3B64 2016</t>
  </si>
  <si>
    <t>Sami (European people)--Religion.</t>
  </si>
  <si>
    <t>Energy, Resources and Welfare : Exploration of Social Frameworks for Sustainable Development</t>
  </si>
  <si>
    <t>Sorensen (Sørensen), Bent;Sorensen (Sorensen), Bent</t>
  </si>
  <si>
    <t>Engineering; Engineering: Mechanical; Business/Management; Economics</t>
  </si>
  <si>
    <t>Wool and Textiles Sustainable Development</t>
  </si>
  <si>
    <t>Shao, Jian Zhong;Wang, Ji Ping</t>
  </si>
  <si>
    <t>Fine Arts; Business/Management; Engineering: General</t>
  </si>
  <si>
    <t>Non-Conventional Materials and Technologies for Sustainable Development</t>
  </si>
  <si>
    <t>Ghavami, Khosrow</t>
  </si>
  <si>
    <t>Materials and Construction Technologies for Sustainable Development</t>
  </si>
  <si>
    <t>Architecture; Engineering: General; Economics</t>
  </si>
  <si>
    <t>Materials and Technologies for Sustainable Development</t>
  </si>
  <si>
    <t>Soboyejo, Wole;Odusunya, Shola;Kana, Zebaze;Anuku, Nicolas;Malatesta, Karen;Dauda, Mohammed</t>
  </si>
  <si>
    <t>Architecture; Engineering; Economics</t>
  </si>
  <si>
    <t>Advanced Engineering Forum Vol. 14</t>
  </si>
  <si>
    <t>Nedelcu, Dumitru</t>
  </si>
  <si>
    <t>Case Study: Managing Sustainability in the Fashion Supply Chain : Operationalization and Challenges at a UK Textile Company</t>
  </si>
  <si>
    <t>Kogan Page Case Study Library</t>
  </si>
  <si>
    <t>Rafi-Ul-Shan, Piyya Muhammad;Perry, Patsy;Grant, David B.</t>
  </si>
  <si>
    <t>HD9861.5.R345 2016eb</t>
  </si>
  <si>
    <t>Textile industry--Great Britain.</t>
  </si>
  <si>
    <t>Case Study: Sustainability in the Hotel Industry : The Role of Operating Agreements in the Hotel Industry</t>
  </si>
  <si>
    <t>Upadhyay, Arvind;Pomponi, Francesco;Vadam, Céline;Mohan, Sushil</t>
  </si>
  <si>
    <t>TX911.S878 2016eb</t>
  </si>
  <si>
    <t>Becoming Earth : A Post Human Turn in Educational Discourse Collapsing Nature/Culture Divides</t>
  </si>
  <si>
    <t>Reinertsen, Anne B.</t>
  </si>
  <si>
    <t>Transformative learning. ; Materialism.</t>
  </si>
  <si>
    <t>International Journal of Sustainable Economies Management (IJSEM) Volume 5, Issue 1</t>
  </si>
  <si>
    <t>HC79.E5.D876 2016eb</t>
  </si>
  <si>
    <t>International Journal of Disease Control and Containment for Sustainability (IJDCCS) Volume 1, Issue 1</t>
  </si>
  <si>
    <t>RC109.I584 2016</t>
  </si>
  <si>
    <t>Communicable diseases--Periodicals.</t>
  </si>
  <si>
    <t>International Journal of Sustainable Entrepreneurship and Corporate Social Responsibility (IJSECSR) Volume 1, Issue 1</t>
  </si>
  <si>
    <t>Najmaei, Arash</t>
  </si>
  <si>
    <t>HD60.N356 2016</t>
  </si>
  <si>
    <t>Design and Development of Sustainable Manufacturing Systems</t>
  </si>
  <si>
    <t>Al Bakri Abdullah, Mohd Mustafa;Abd Razak, Rafiza;Ramli, Muhammad Mahyiddin;Abd Rahim, Shayfull Zamree;Ismail, Rizalafande;Mat Saad, Mohd Nasir</t>
  </si>
  <si>
    <t>Polymers in Concrete Towards Innovation, Productivity and Sustainability in the Built Environment</t>
  </si>
  <si>
    <t>Wong, Sook Fun;Tan, Kang Hai;Ong, Khim Chye Gary</t>
  </si>
  <si>
    <t>Destination Competitiveness, the Environment and Sustainability : Challenges and Cases</t>
  </si>
  <si>
    <t>CABI Series in Tourism Management Research Ser.</t>
  </si>
  <si>
    <t>Artal-Tur, Andrés;Kozak, Metin</t>
  </si>
  <si>
    <t>G156.5.E58 -- D47 2016eb</t>
  </si>
  <si>
    <t>Tourism - Marketing</t>
  </si>
  <si>
    <t>WorldCALL: Sustainability and Computer-Assisted Language Learning</t>
  </si>
  <si>
    <t>Advances in Digital Language Learning and Teaching Ser.</t>
  </si>
  <si>
    <t>Sanz, Ana María Gimeno;Levy, Mike;Blin, Françoise;Barr, David;Blin, Françoise</t>
  </si>
  <si>
    <t>P53.855 -- .W67 2016eb</t>
  </si>
  <si>
    <t>Language and languages -- Study and teaching -- Technological innovations. ; Language and languages -- Study and teaching -- Computer-assisted instruction. ; Literacy -- Study and teaching -- Computer-assisted instruction.</t>
  </si>
  <si>
    <t>Sustainable Crop Disease Management Using Natural Products</t>
  </si>
  <si>
    <t>Ganesan, Sangeetha;Vadivel, Kurucheve;Jayaraman, Jayaraj</t>
  </si>
  <si>
    <t>SB732.6 -- .S878 2015eb</t>
  </si>
  <si>
    <t>Natural pesticides</t>
  </si>
  <si>
    <t>LEED V4 Practices, Certification, and Accreditation Handbook</t>
  </si>
  <si>
    <t>TH880</t>
  </si>
  <si>
    <t>Sustainable buildings--Design and construction--Standards--Handbooks, manuals, etc.</t>
  </si>
  <si>
    <t>The Recycling Myth: Disruptive Innovation to Improve the Environment</t>
  </si>
  <si>
    <t>HD9980.5.B798 2015</t>
  </si>
  <si>
    <t>NATURE / Environmental Conservation &amp; Protection</t>
  </si>
  <si>
    <t>Energy Efficiency in Strategy of Sustainable Production</t>
  </si>
  <si>
    <t>Engineering: General; Engineering: Manufacturing</t>
  </si>
  <si>
    <t>Handbook of Research on Waste Management Techniques for Sustainability</t>
  </si>
  <si>
    <t>TS161 .H365</t>
  </si>
  <si>
    <t>628.4/4</t>
  </si>
  <si>
    <t>Industrial ecology</t>
  </si>
  <si>
    <t>Electric Renewable Energy Systems</t>
  </si>
  <si>
    <t>Rashid, Muhammad H.</t>
  </si>
  <si>
    <t>TD195.E49 -- .R374 2016eb</t>
  </si>
  <si>
    <t>Renewable energy sources--Environmental aspects.</t>
  </si>
  <si>
    <t>Cycling and Recycling : Histories of Sustainable Practices</t>
  </si>
  <si>
    <t>Oldenziel, Ruth;Trischler, Helmuth</t>
  </si>
  <si>
    <t>HE5736 .C926 2015</t>
  </si>
  <si>
    <t>363.72/8209</t>
  </si>
  <si>
    <t>Proceedings of the 5th International Workshop on The role of forests for future global development : Addressing information needs for sustainable management of forest resources</t>
  </si>
  <si>
    <t>Fehrmann, Lutz;Kleinn, Christoph;Kleinn, Alina</t>
  </si>
  <si>
    <t>SD118</t>
  </si>
  <si>
    <t>Forests and forestry</t>
  </si>
  <si>
    <t>Innovative Materials and Technology for Sustainable Development of Society</t>
  </si>
  <si>
    <t>Encyclopedia of Global Environmental Governance and Politics</t>
  </si>
  <si>
    <t>Pattberg, Philipp;Zelli, Fariborz</t>
  </si>
  <si>
    <t>HD75.6 -- .E53 2015eb</t>
  </si>
  <si>
    <t>Economic development--Environmental aspects.</t>
  </si>
  <si>
    <t>Land Restoration : Reclaiming Landscapes for a Sustainable Future</t>
  </si>
  <si>
    <t>Chabay, Ilan;Frick, Martin;Helgeson, Jennifer</t>
  </si>
  <si>
    <t>Science; Environmental Studies; Science: Biology/Natural History; Economics</t>
  </si>
  <si>
    <t>QH541.15.R45 L363 2016</t>
  </si>
  <si>
    <t>333.7/3153</t>
  </si>
  <si>
    <t>Restoration ecology. ; Landscape ecology. ; Sustainable development.</t>
  </si>
  <si>
    <t>Energy Management Principles : Applications, Benefits, Savings</t>
  </si>
  <si>
    <t>Smith, Craig B.;Parmenter, Kelly E.</t>
  </si>
  <si>
    <t>333.79/16</t>
  </si>
  <si>
    <t>Energy conservation.</t>
  </si>
  <si>
    <t>Modern Civil Engineering in Trend of the Sustainable Infrastructure Development</t>
  </si>
  <si>
    <t>Aziz, Hamidi Abdul;Hamzah, Meor Othman;Ahmad, Fauziah;Abu Bakar, Badorul Hisham;Abustan, Ismail;Leong, Lee Vien;Megat Johari, Megat Azmi;Ahamad, Mohd Sanusi S.;Abdullah, Rozi;Bunnori, Norazura Muhamad</t>
  </si>
  <si>
    <t>Economics; Engineering: Civil; Engineering: General</t>
  </si>
  <si>
    <t>Renewable Heating and Cooling : Technologies and Applications</t>
  </si>
  <si>
    <t>Stryi-Hipp, G.</t>
  </si>
  <si>
    <t>TH7226</t>
  </si>
  <si>
    <t>Heating--Environmental aspects. ; Renewable energy sources.</t>
  </si>
  <si>
    <t>Environmental Biotechnology : A Biosystems Approach</t>
  </si>
  <si>
    <t>Vallero, Daniel;Vallero, Daniel</t>
  </si>
  <si>
    <t>GF41 -- .V355 2016eb</t>
  </si>
  <si>
    <t>Human ecology. ; Environmental policy. ; Environmentalism.</t>
  </si>
  <si>
    <t>Continuous Architecture : Sustainable Architecture in an Agile and Cloud-Centric World</t>
  </si>
  <si>
    <t>Erder, Murat;Pureur, Pierre</t>
  </si>
  <si>
    <t>Architecture; Computer Science/IT</t>
  </si>
  <si>
    <t>QA76.754 -- .E734 2016eb</t>
  </si>
  <si>
    <t>Software architecture. ; Computer architecture. ; Cloud computing.</t>
  </si>
  <si>
    <t>Handbook of Research on Climate Change Impact on Health and Environmental Sustainability</t>
  </si>
  <si>
    <t>Dinda, Soumyananda</t>
  </si>
  <si>
    <t>QC903.H367</t>
  </si>
  <si>
    <t>Handbook of Environmental and Sustainable Finance</t>
  </si>
  <si>
    <t>Ramiah, Vikash;Gregoriou, Greg N.</t>
  </si>
  <si>
    <t>HC79.E5 .H363 2016</t>
  </si>
  <si>
    <t>Environmental economics. ; Finance--Environmental aspects. ; Environmental policy.</t>
  </si>
  <si>
    <t>A Focus on Sustainable Supply Chains and Green Logistics</t>
  </si>
  <si>
    <t>Emerald Gems Ser.</t>
  </si>
  <si>
    <t>Limited, Emerald Group Publishing</t>
  </si>
  <si>
    <t>Business logistics. ; Sustainable development.</t>
  </si>
  <si>
    <t>Changing Politics of Organic Food in North America</t>
  </si>
  <si>
    <t>Clark, Lisa F.</t>
  </si>
  <si>
    <t>S589.7</t>
  </si>
  <si>
    <t>Agricultural ecology. ; Agricultural systems -- Environmental aspects. ; Agriculture -- Environmental aspects. ; Natural foods. ; Organic farming.</t>
  </si>
  <si>
    <t>Impact of Water Pollution on Human Health and Environmental Sustainability</t>
  </si>
  <si>
    <t>McKeown, A. Elaine;Bugyi, George</t>
  </si>
  <si>
    <t>RA591 .I48</t>
  </si>
  <si>
    <t>363.739/4</t>
  </si>
  <si>
    <t>Impact of Meat Consumption on Health and Environmental Sustainability</t>
  </si>
  <si>
    <t>Raphaely, Talia;Marinova, Dora</t>
  </si>
  <si>
    <t>HD9410.5 .I47</t>
  </si>
  <si>
    <t>333.95/414</t>
  </si>
  <si>
    <t>Electrical Power Engineering and Sustainable Development of Industry</t>
  </si>
  <si>
    <t>Shasidharan, Gomesh Nair;Irwanto, Muhammad;Mokhzaini Azizan, Muhammad;Ismail, Baharuddin</t>
  </si>
  <si>
    <t>Breeding Oilseed Crops for Sustainable Production : Opportunities and Constraints</t>
  </si>
  <si>
    <t>Gupta, Surinder Kumar</t>
  </si>
  <si>
    <t>SB298 .B744 2016</t>
  </si>
  <si>
    <t>633.8/5</t>
  </si>
  <si>
    <t>Oilseed plants--Breeding. ; Sustainable agriculture.</t>
  </si>
  <si>
    <t>Museum Websites and Social Media : Issues of Participation, Sustainability, Trust and Diversity</t>
  </si>
  <si>
    <t>Museums and Collections</t>
  </si>
  <si>
    <t>Laws, Ana Sánchez</t>
  </si>
  <si>
    <t>AM125.S36 2015</t>
  </si>
  <si>
    <t>Museums and the Internet</t>
  </si>
  <si>
    <t>Search for Environmental Justice</t>
  </si>
  <si>
    <t>IUCN Academy of Environmental Law series</t>
  </si>
  <si>
    <t xml:space="preserve">Martin, Paul;Bigdeli, Sadeq Z.;Daya-Winterbottom, Trevor;du Plessis, Willemien ;Kennedy, Amanda </t>
  </si>
  <si>
    <t>GE220 -- .S437 2015eb</t>
  </si>
  <si>
    <t>Environmental justice. ; Environmentalism.</t>
  </si>
  <si>
    <t>Creating and Restoring Wetlands : From Theory to Practice</t>
  </si>
  <si>
    <t>Craft, Christopher</t>
  </si>
  <si>
    <t>Science: Biology/Natural History; Science; Environmental Studies; Economics</t>
  </si>
  <si>
    <t>QH541.5.M3 C734 2016</t>
  </si>
  <si>
    <t>333.91/816</t>
  </si>
  <si>
    <t>Wetland restoration. ; Wetland conservation. ; Wetland ecology.</t>
  </si>
  <si>
    <t>Transformational Tourism : Host Perspectives</t>
  </si>
  <si>
    <t>Reisinger, Yvette;Ashworth, Gregory J.;Kanning, Mark;Sagar, Sagar;Bianca, Bianca;Ignacio, Ignacio;Smith, Melanie;Diekmann, Anya;Michael, Michael;Isaac, Isaac</t>
  </si>
  <si>
    <t>G155.A1 .R384 2015</t>
  </si>
  <si>
    <t>Community development. ; Sustainable tourism. ; Tourism -- Social aspects.</t>
  </si>
  <si>
    <t>Environmental Impact of Mining and Mineral Processing : Management, Monitoring, and Auditing Strategies</t>
  </si>
  <si>
    <t>Jain, Ravi</t>
  </si>
  <si>
    <t>TD195.M5</t>
  </si>
  <si>
    <t>333.8/514</t>
  </si>
  <si>
    <t>Mineral industries -- Environmental aspects. ; Mineral industries. ; Mines and mineral resources. ; Mining corporations.</t>
  </si>
  <si>
    <t>Corporate Social Responsibility, Private Law and Global Supply Chains</t>
  </si>
  <si>
    <t>Corporations, Globalisation and the Law series</t>
  </si>
  <si>
    <t>Rühmkorf, Andreas</t>
  </si>
  <si>
    <t>HD60 -- .R846 2015eb</t>
  </si>
  <si>
    <t>Social responsibility of business. ; Corporation law. ; Business logistics.</t>
  </si>
  <si>
    <t>Handbook of Research on Sustainable Careers</t>
  </si>
  <si>
    <t>Research Handbooks in Business and Management Series</t>
  </si>
  <si>
    <t>De Vos, Ans;van der Heijden, Beatrice I.J.M.</t>
  </si>
  <si>
    <t>HF5381 -- .H363 2015eb</t>
  </si>
  <si>
    <t>Vocational guidance -- Handbooks, manuals, etc. ; Appropriate technology -- Vocational guidance -- Handbooks, manuals, etc. ; Career development.</t>
  </si>
  <si>
    <t>Climate Change and Marine and Freshwater Toxins</t>
  </si>
  <si>
    <t>Botana, Luis M.;Louzao, M. Carmen;Vilarino, Natalia</t>
  </si>
  <si>
    <t>Science; Science: Biology/Natural History; Medicine</t>
  </si>
  <si>
    <t>QP632 .C556 2021</t>
  </si>
  <si>
    <t>615.9/5</t>
  </si>
  <si>
    <t>Recent Decisions in Technologies for Sustainable Development</t>
  </si>
  <si>
    <t>Ghurri, Ainul;Suardana, N. P. G.;Pujianiki, Ni Nyoman;Thanaya, I. Nyoman Arya;Diah Parami Dewi, A. A.;Budiarsa, I. Nyoman;Widhiada, I. Wayan;Bayupati, I. P. Agung;Kumara, I. N. Satya</t>
  </si>
  <si>
    <t>Sustainable Apparel : Production, Processing and Recycling</t>
  </si>
  <si>
    <t>Blackburn, Richard;Blackburn, R. S.</t>
  </si>
  <si>
    <t>Engineering: Environmental; Engineering; Home Economics</t>
  </si>
  <si>
    <t>TD195.T48.S878 2015</t>
  </si>
  <si>
    <t>Global Energy Interconnection</t>
  </si>
  <si>
    <t>Early Diagnosis in Cancer</t>
  </si>
  <si>
    <t>Liu, Zhenya</t>
  </si>
  <si>
    <t>TJ163.2 .L58 2015</t>
  </si>
  <si>
    <t>Energy development. ; Renewable energy sources. ; Sustainable development.</t>
  </si>
  <si>
    <t>Engineering Solutions for Industrial Production</t>
  </si>
  <si>
    <t>Bhatnagar, Anil K.</t>
  </si>
  <si>
    <t>Science: Physics; Engineering: General</t>
  </si>
  <si>
    <t>Green and Sustainable Manufacturing of Advanced Material</t>
  </si>
  <si>
    <t>Singh, Mrityunjay;Ohji, Tatsuki;Asthana, Rajiv</t>
  </si>
  <si>
    <t>TA170</t>
  </si>
  <si>
    <t>Environmental engineering -- Handbooks, manuals, etc. ; Materials science. ; Sustainable engineering -- Handbooks, manuals, etc.</t>
  </si>
  <si>
    <t>International Integrated Engineering Summit 2014</t>
  </si>
  <si>
    <t>Ismail, Al Emran;Khalid, Amir;Madun, Aziman;Hong, Ahmad Kueh Beng;Mohamad, Fariza;Salleh, Hamidon;Ambak, Kamaruddin;Abdullah, Mohammad Kamil;Jalil, Mohd Azlis Sani;Abdullah, Mohd Ezree</t>
  </si>
  <si>
    <t>Material Science Technology and Global Sustainability</t>
  </si>
  <si>
    <t>Hadi, Abdul;Hamzah, Fazlena;Mohd Rodhi, Miradatul Najwa</t>
  </si>
  <si>
    <t>Engineering; Economics; Engineering: Manufacturing</t>
  </si>
  <si>
    <t>20th Symposium on Composites</t>
  </si>
  <si>
    <t>Edtmaier, Christian;Requena, Guillermo</t>
  </si>
  <si>
    <t>Spaces In-Between : Cultural and Political Perspectives on Environmental Discourse</t>
  </si>
  <si>
    <t>Studies in Environmental Humanities Ser.</t>
  </si>
  <si>
    <t>Luccarelli, Mark;Bergmann, Sigurd</t>
  </si>
  <si>
    <t>GE195 -- .S633 2015eb</t>
  </si>
  <si>
    <t>Environmentalism -- Social aspects. ; Urban ecology (Sociology) ; Public spaces. ; Environmental policy.</t>
  </si>
  <si>
    <t>Sustentabilidad : Principios y Prácticas</t>
  </si>
  <si>
    <t>Sustentabilidad</t>
  </si>
  <si>
    <t>Aguirre, Patricia</t>
  </si>
  <si>
    <t>HC79.E5.S878 2015</t>
  </si>
  <si>
    <t>Sustainable Building Materials and Materials for Energy Efficiency</t>
  </si>
  <si>
    <t>Architecture; Engineering; Engineering: Environmental</t>
  </si>
  <si>
    <t>Incorporating Business Models and Strategies into Social Entrepreneurship</t>
  </si>
  <si>
    <t>HD60 -- .I5295 2016eb</t>
  </si>
  <si>
    <t>Social entrepreneurship. ; Social responsibility of business. ; Social change.</t>
  </si>
  <si>
    <t>Improving and Tailoring Enzymes for Food Quality and Functionality</t>
  </si>
  <si>
    <t>Yada, Rickey Y.;Yada, Rickey Y.</t>
  </si>
  <si>
    <t>SB106.B56</t>
  </si>
  <si>
    <t>Agricultural processing. ; Food -- Biotechnology. ; Plant biotechnology. ; Sustainable agriculture.</t>
  </si>
  <si>
    <t>Conservation Agriculture in Subsistence Farming : Case Studies from South Asia and Beyond</t>
  </si>
  <si>
    <t>Travis, Travis;Chan, Catherine;Aliza, Aliza;Fantle-Lepczyk, Jean ;Bikash, Bikash;Jacqueline, Jacqueline</t>
  </si>
  <si>
    <t>S604.64 .S64 C66 2015</t>
  </si>
  <si>
    <t>Sustainable agriculture - South Asia</t>
  </si>
  <si>
    <t>Green Accounting Initiatives and Strategies for Sustainable Development</t>
  </si>
  <si>
    <t>Advances in Finance, Accounting, and Economics</t>
  </si>
  <si>
    <t xml:space="preserve">Caraiani, Chirața;Lungu, Camelia I.;Dascălu, Cornelia;Colceag, Florian </t>
  </si>
  <si>
    <t>HC79.E5 -- .G744 2015eb</t>
  </si>
  <si>
    <t>Sustainable development. ; Organizational change -- Environmental aspects. ; Management -- Environmental aspects.</t>
  </si>
  <si>
    <t>Farmageddon : The True Cost of Cheap Meat</t>
  </si>
  <si>
    <t>Lymbery, Philip</t>
  </si>
  <si>
    <t>HD9410.5 .L96 2014</t>
  </si>
  <si>
    <t>Meat industry and trade. ; Agriculture. ; Animal welfare. ; Animal biotechnology. ; Food-Quality. ; Food supply-Environmental aspects.</t>
  </si>
  <si>
    <t>Sustainable Catalytic Processes</t>
  </si>
  <si>
    <t>Saha, Basudek;Fan, Maohong;Wang, Jianji</t>
  </si>
  <si>
    <t>Engineering; Engineering: Chemical; Science: Chemistry; Science</t>
  </si>
  <si>
    <t>QD505</t>
  </si>
  <si>
    <t>Catalysts -- Industrial applications. ; Catalysts.</t>
  </si>
  <si>
    <t>The Peace of Nature and the Nature of Peace : Essays on Ecology, Nature, Nonviolence, and Peace</t>
  </si>
  <si>
    <t>Fiala, Andrew</t>
  </si>
  <si>
    <t>B105.P4 .P433 2015</t>
  </si>
  <si>
    <t>Peace (Philosophy) ; Ecology. ; Environmental ethics. ; Nonviolence.</t>
  </si>
  <si>
    <t>Recent Technologies in Design, Management and Manufacturing</t>
  </si>
  <si>
    <t>Mohd Nor, Mohd Jailani;Abd Manaf, Mohd Edeerozey;Lau, Kok Tee;Mohamed, Muhammad Syafiq Syed;Abdul Aziz, Mohd Sanusi</t>
  </si>
  <si>
    <t>Sustainable Cities : Governing for Urban Innovation</t>
  </si>
  <si>
    <t>Planning, Environment, Cities Ser.</t>
  </si>
  <si>
    <t>Joss, Simon</t>
  </si>
  <si>
    <t>G1-922</t>
  </si>
  <si>
    <t>Regional planning.</t>
  </si>
  <si>
    <t>Micro- and Nanotechnologies for Sustainable Development</t>
  </si>
  <si>
    <t>Kajitvitchyanukul, Puangrat;Kiravittaya, Suwit;Charinpanitkul, Tawatchai</t>
  </si>
  <si>
    <t>Nachhaltige Logistik</t>
  </si>
  <si>
    <t>Bliesener, Max-Michael</t>
  </si>
  <si>
    <t>HC79.E5.B554 2015</t>
  </si>
  <si>
    <t>Technological Solutions for Sustainable Business Practice in Asia</t>
  </si>
  <si>
    <t>Ordóñez de Pablos, Patricia</t>
  </si>
  <si>
    <t>HD60 -- .T43 2015eb</t>
  </si>
  <si>
    <t>658.4/08095</t>
  </si>
  <si>
    <t>Social responsibility of business -- Asia. ; Entrepreneurship -- Asia. ; Business enterprises -- Environmental aspects. ; Management -- Asia. ; Information technology -- Technological innovations -- Asia.</t>
  </si>
  <si>
    <t>Sugarcane : Agricultural Production, Bioenergy and Ethanol</t>
  </si>
  <si>
    <t>Santos, Fernando;Borém, Aluízio;Caldas, Celso</t>
  </si>
  <si>
    <t>Advances in Green Science, Engineering and Built Environment</t>
  </si>
  <si>
    <t>Mydin, Azree Othuman</t>
  </si>
  <si>
    <t>Engineering: General; Engineering: Environmental; Environmental Studies</t>
  </si>
  <si>
    <t>Advances in Civil Engineering and Transportation IV</t>
  </si>
  <si>
    <t>Zhang, Xiang Dong;Bin, Zhang</t>
  </si>
  <si>
    <t>Handbook of Research on Sustainable Consumption</t>
  </si>
  <si>
    <t>Reisch, L. A.;Thøgersen, J.</t>
  </si>
  <si>
    <t>HC79.C6 -- H36 2015eb</t>
  </si>
  <si>
    <t>Consumption (Economics) -- Environmental aspects -- Handbooks, manuals, etc.</t>
  </si>
  <si>
    <t>Sustainability of Products, Processes and Supply Chains : Theory and Applications</t>
  </si>
  <si>
    <t>You, Fengqi</t>
  </si>
  <si>
    <t>TA170 -- .S878 2015eb</t>
  </si>
  <si>
    <t>Sustainable engineering. ; Sustainable design.</t>
  </si>
  <si>
    <t>Handbook of Research on Social, Economic, and Environmental Sustainability in the Development of Smart Cities</t>
  </si>
  <si>
    <t>Vesco, Andrea;Ferrero, Francesco</t>
  </si>
  <si>
    <t>HT166 -- .V473 2015eb</t>
  </si>
  <si>
    <t>City planning. ; City planning -- Technological innovations. ; Urbanization. ; Technological innovations. ; Sustainability.</t>
  </si>
  <si>
    <t>Handbook of Research on Sustainable Development and Economics</t>
  </si>
  <si>
    <t>Thomas, Ken D.</t>
  </si>
  <si>
    <t>HC79.E5 -- .T466 2015eb</t>
  </si>
  <si>
    <t>Opportunities for the Gulf Research Program: Monitoring Ecosystem Restoration and Deep Water Environments : Summary of a Workshop</t>
  </si>
  <si>
    <t>Gulf Research Program;Olson, Steve;Waddell, Kim</t>
  </si>
  <si>
    <t>Applied Energy and Environment Technologies and Materials</t>
  </si>
  <si>
    <t>Choi, Seung-Bok</t>
  </si>
  <si>
    <t>Engineering: Electrical; Engineering: General; Political Science</t>
  </si>
  <si>
    <t>Eco-Hustle! Global Warming, Greenwashing, and Sustainability : Global Warming, Greenwashing, and Sustainability</t>
  </si>
  <si>
    <t>QC981.8.G56 -- J6377 2015eb</t>
  </si>
  <si>
    <t>Global warming. ; Climatic changes -- Government policy. ; Environmental policy. ; Carbon dioxide mitigation. ; Sustainable development.</t>
  </si>
  <si>
    <t>Engineering Decisions for Industrial Development</t>
  </si>
  <si>
    <t>Xu, Jian-Jun;Wang, Pin;Fang, Zhi Gang</t>
  </si>
  <si>
    <t>Climate Resilient Organization : Adaptation and Resilience to Climate Change and Weather Extremes</t>
  </si>
  <si>
    <t>Linnenluecke, M. K.;Griffiths, A.</t>
  </si>
  <si>
    <t>HD30.255 -- .L566 2015eb</t>
  </si>
  <si>
    <t>Business -- Environmental aspects. ; Climatic changes -- Economic aspects. ; Sustainable development.</t>
  </si>
  <si>
    <t>Promoting Sustainable Practices Through Energy Engineering and Asset Management</t>
  </si>
  <si>
    <t>González-Prida, Vicente;Raman, Anthony</t>
  </si>
  <si>
    <t>HD60.3.P76</t>
  </si>
  <si>
    <t>Sustainable development reporting -- Developing countries. ; Sustainable development -- Developing countries. ; Energy development -- Developing countries. ; Assets (Accounting) -- Developing countries.</t>
  </si>
  <si>
    <t>Green Economic Structures in Modern Business and Society</t>
  </si>
  <si>
    <t>Jean-Vasile, Andrei;Andreea, Ion Raluca;Adrian, Turek Rahoveanu</t>
  </si>
  <si>
    <t>HC79.E5 -- .J436 2015eb</t>
  </si>
  <si>
    <t>Sustainable development. ; Environmental policy. ; Green technology.</t>
  </si>
  <si>
    <t>The Human and Environmental Impact of Fracking: How Fracturing Shale for Gas Affects Us and Our World : How Fracturing Shale for Gas Affects Us and Our World</t>
  </si>
  <si>
    <t>Finkel, Madelon L.;Finkel, Madelon L</t>
  </si>
  <si>
    <t>TD195.G3 -- .H86 2015eb</t>
  </si>
  <si>
    <t>Hydraulic fracturing -- Environmental aspects. ; Hydraulic fracturing -- Health aspects.</t>
  </si>
  <si>
    <t>Social Welfare Policy for a Sustainable Future : The U. S. in Global Context</t>
  </si>
  <si>
    <t>van Wormer, Katherine S.;Link, Rosemary J.</t>
  </si>
  <si>
    <t>HV95V36 2016</t>
  </si>
  <si>
    <t>361.6/10973</t>
  </si>
  <si>
    <t>Social service--United States.</t>
  </si>
  <si>
    <t>Innovative Technologies in Development of Construction Industry</t>
  </si>
  <si>
    <t>Vatin, Nikolay</t>
  </si>
  <si>
    <t>Engineering: General; Engineering: Construction; Business/Management</t>
  </si>
  <si>
    <t>Cases on Sustainable Human Resources Management in the Middle East and Asia</t>
  </si>
  <si>
    <t>Advances in Human Resources Management and Organizational Development</t>
  </si>
  <si>
    <t>Jones, Stephanie;Graham, Sheena</t>
  </si>
  <si>
    <t>HF5549.2.M628 -- .J664 2015eb</t>
  </si>
  <si>
    <t>Personnel management -- Middle East. ; Personnel management -- Asia.</t>
  </si>
  <si>
    <t>Managementwissen fuer eine innovative und lernende oeffentliche Verwaltung : Grundlagen eines wirkungsorientierten, kreativen und ganzheitlichen Verwaltungsmanagements</t>
  </si>
  <si>
    <t>Nolte, Rüdiger;Zimmermann, Sabine</t>
  </si>
  <si>
    <t>HC79.E5 -- .N658 2015eb</t>
  </si>
  <si>
    <t>Environmental economics. ; Human ecology. ; Sustainable development.</t>
  </si>
  <si>
    <t>Customer-Centric Marketing : Supporting Sustainability in the Digital Age</t>
  </si>
  <si>
    <t>Richardson, Neil;James, Jon;Kelley, Neil</t>
  </si>
  <si>
    <t>HF5415.55 -- .R53 2015eb</t>
  </si>
  <si>
    <t>Relationship marketing. ; Marketing. ; Internet marketing. ; Customer relations.</t>
  </si>
  <si>
    <t>Green Logistics : Improving the Environmental Sustainability of Logistics</t>
  </si>
  <si>
    <t>McKinnon, Alan;Browne, Michael;Whiteing, Anthony;Piecyk, Maja</t>
  </si>
  <si>
    <t>HD38.5 -- .G696 2015eb</t>
  </si>
  <si>
    <t>Business logistics -- Environmental aspects.</t>
  </si>
  <si>
    <t>Shale Gas and Fracking : The Science Behind the Controversy</t>
  </si>
  <si>
    <t>Engineering; Environmental Studies; Economics; Engineering: Environmental</t>
  </si>
  <si>
    <t>TD195.G3 -- .S747 2015eb</t>
  </si>
  <si>
    <t>Hydraulic fracturing -- Environmental aspects -- United States. ; Gas well drilling -- Environmental aspects -- United States. ; Shale gas industry -- Environmental aspects -- United States.</t>
  </si>
  <si>
    <t>Tourism Enterprise : Developments, Management and Sustainability</t>
  </si>
  <si>
    <t>Leslie, David</t>
  </si>
  <si>
    <t>G156.5.E58 -- .L47 2014eb</t>
  </si>
  <si>
    <t>Tourism -- Environmental aspects. ; Environmental management. ; Green movement. ; Sustainable development.</t>
  </si>
  <si>
    <t>E-Learning and Education for Sustainability</t>
  </si>
  <si>
    <t>Umweltbildung, Umweltkommunikation und Nachhaltigkeit / Environmental Education, Communication and Sustainability</t>
  </si>
  <si>
    <t>Azeiteiro, Ulisses Miranda;Leal Filho, Walter;Caeiro, Sandra S.;Azeiteiro, Ulisses Miranda;Leal Filho, Walter;Caeiro, Sandra</t>
  </si>
  <si>
    <t>GE70 -- .E14 2014eb</t>
  </si>
  <si>
    <t>Environmental education. ; Sustainable development -- Study and teaching. ; Distance education.</t>
  </si>
  <si>
    <t>Environmental Protection and Resource Utilization IV</t>
  </si>
  <si>
    <t>Tang, Yu Bin;Xu, Qun Jie;Min, Yu Lin</t>
  </si>
  <si>
    <t>GE195.E58 2015eb</t>
  </si>
  <si>
    <t>Advances in Energy Materials and Environment Engineering</t>
  </si>
  <si>
    <t>Zhou, Pei Jiang;Patty, Aragona</t>
  </si>
  <si>
    <t>TK2896.A383 2015eb</t>
  </si>
  <si>
    <t>Assessing and Measuring Environmental Impact and Sustainability</t>
  </si>
  <si>
    <t>Klemes, Jiri J.;Klemes, Jiri J.</t>
  </si>
  <si>
    <t>TD194.6 -- .A87 2015eb</t>
  </si>
  <si>
    <t>Environmental impact analysis -- Cost effectiveness. ; Environmental impact analysis -- Data processing.</t>
  </si>
  <si>
    <t>Civil, Structural and Environmental Engineering III</t>
  </si>
  <si>
    <t>Huang, Yong;Bao, Tai;Huang, Zhen Hua;Wang, Hong</t>
  </si>
  <si>
    <t>TA151.G563 2015eb</t>
  </si>
  <si>
    <t>“Green” Microemulsions and Nanoemulsions as Alternative Fuels</t>
  </si>
  <si>
    <t>Maleknia, Setareh</t>
  </si>
  <si>
    <t>TP343.M354 2014</t>
  </si>
  <si>
    <t>Diesel fuels.</t>
  </si>
  <si>
    <t>High Performance Concrete - Innovation and Utilization</t>
  </si>
  <si>
    <t>Peng, Gai-Fei;Zhang, Jun;Hao, Ting Yu;Leng, Fa Guang</t>
  </si>
  <si>
    <t>Costs and Benefits of Environmental Regulation</t>
  </si>
  <si>
    <t>Moosa, I. A.;Ramiah, V.</t>
  </si>
  <si>
    <t>HC79.E5 -- .M667 2014eb</t>
  </si>
  <si>
    <t>Environmental economics. ; Environmental law -- United States. ; Environmental health -- United States.</t>
  </si>
  <si>
    <t>From Uneconomic Growth to a Steady-State Economy</t>
  </si>
  <si>
    <t>Advances in Ecological Economics series</t>
  </si>
  <si>
    <t>Daly, H. E.</t>
  </si>
  <si>
    <t>HC79.E5 -- .D359 2014eb</t>
  </si>
  <si>
    <t>Planetary Praxis and Pedagogy : Transdisciplinary Approaches to Environmental Sustainability</t>
  </si>
  <si>
    <t>Mitchell, Richard C.;Moore, Shannon A.</t>
  </si>
  <si>
    <t>Transition Pathways Towards Sustainability in Agriculture : Case Studies from Europe</t>
  </si>
  <si>
    <t>Sutherland, Lee Ann;Darnhofer, Ika;Wilson, Geoff;Zagata, Lukas</t>
  </si>
  <si>
    <t>S452 -- .S88 2014eb</t>
  </si>
  <si>
    <t>Sustainable agriculture -- Europe -- Case studies. ; Agricultural systems -- Europe -- Case studies.</t>
  </si>
  <si>
    <t>Engineering and Technological Solutions for Sustainable Development</t>
  </si>
  <si>
    <t>Gou, Xiang;Li, Hu</t>
  </si>
  <si>
    <t>Architecture in Perspective VI</t>
  </si>
  <si>
    <t>Peřinková, Martina;Nedvěd, Martin</t>
  </si>
  <si>
    <t>13th International Ceramics Congress - Part E</t>
  </si>
  <si>
    <t>Vincenzini, Pietro</t>
  </si>
  <si>
    <t>Eating America: Crisis, Sustenance, Sustainability : Crisis, Sustenance, Sustainability</t>
  </si>
  <si>
    <t>Gdansk Transatlantic Studies in British and North American Culture</t>
  </si>
  <si>
    <t>Kociatkiewicz, Justyna;Suchostawska, Laura;Ferens, Dominika</t>
  </si>
  <si>
    <t>PS121 -- .E285 2015eb</t>
  </si>
  <si>
    <t>American literature -- History and criticism. ; Food in literature. ; Crisis in literature. ; Consumption (Economics) in literature. ; Moral conditions in literature. ; Food habits -- United States.</t>
  </si>
  <si>
    <t>Applied Engineering Decisions in the Context of Sustainable Development</t>
  </si>
  <si>
    <t>EWATEC‐COAST: Technologies for Environmental and Water Protection of Coastal Regions in Vietnam : Contributions to 4th International Conference for Environment and Natural Resources — ICENR 2014</t>
  </si>
  <si>
    <t>HYWAG Schriftenreihe</t>
  </si>
  <si>
    <t>Meon, Günter;Pätsch, Matthias;Van Phuoc, Nguyen;Hong Quan, Nguyen</t>
  </si>
  <si>
    <t>TD313.V5.I584 2014</t>
  </si>
  <si>
    <t>628.1/09597</t>
  </si>
  <si>
    <t>Environmental protection--Vietnam, Southern--Congresses.</t>
  </si>
  <si>
    <t>Business Ethics and Diversity in the Modern Workplace</t>
  </si>
  <si>
    <t>Zgheib, Philippe W.</t>
  </si>
  <si>
    <t>HF5387 -- .Z44 2015eb</t>
  </si>
  <si>
    <t>Business ethics. ; Social responsibility of business.</t>
  </si>
  <si>
    <t>Control of Plant Virus Diseases : Seed-Propagated Crops</t>
  </si>
  <si>
    <t>Loebenstein, Gad;Katis, Nikolaus;Loebenstein, Gad;Katis, Nikolaus</t>
  </si>
  <si>
    <t>TP248.27.P55 -- .C668 2014eb</t>
  </si>
  <si>
    <t>Plant biotechnology. ; Sustainable agriculture.</t>
  </si>
  <si>
    <t>EnviBUILD 2014</t>
  </si>
  <si>
    <t>Kalousek, Milos;Čekon, Miroslav</t>
  </si>
  <si>
    <t>Environmental Technology and Resource Utilization II</t>
  </si>
  <si>
    <t>Zhang, Lan He</t>
  </si>
  <si>
    <t>Materials, Transportation and Environmental Engineering II</t>
  </si>
  <si>
    <t>Kao, Jimmy Chih Ming;Sung, Wen-Pei;Chen, Ran</t>
  </si>
  <si>
    <t>Green Factory Bavaria Colloquium 2014</t>
  </si>
  <si>
    <t>Franke, Jörg;Kreitlein, Sven;Franke, Jörg</t>
  </si>
  <si>
    <t>Thermal Energy Storage Technologies for Sustainability : Systems Design, Assessment and Applications</t>
  </si>
  <si>
    <t>Kalaiselvam, S.;Parameshwaran, R.</t>
  </si>
  <si>
    <t>TJ260 -- .K255 2014eb</t>
  </si>
  <si>
    <t>621.402/8</t>
  </si>
  <si>
    <t>Heat storage devices. ; Heat storage.</t>
  </si>
  <si>
    <t>Economic Growth and Sustainability : Systems Thinking for a Complex World</t>
  </si>
  <si>
    <t>Higgins, Karen L.</t>
  </si>
  <si>
    <t>HB3717 2008 .H544 2015;HC79.E5 H544 2015</t>
  </si>
  <si>
    <t>Sustainability -- Economic aspects. ; Sustainable development. ; System theory.</t>
  </si>
  <si>
    <t>Numerical study of physico- chemical interactions for CO2 sequestration and geothermal energy utilization in the Ordos Basin, China</t>
  </si>
  <si>
    <t>Liu, Hejuan</t>
  </si>
  <si>
    <t>QD181.C1</t>
  </si>
  <si>
    <t>Carbon dioxide-Congresses</t>
  </si>
  <si>
    <t>Hydraulic Engineering and Sustainable City Development III</t>
  </si>
  <si>
    <t>Wu, Xun;Chen, Wei Zhen;Yang, Wei Jun;Liang, Jian Guo</t>
  </si>
  <si>
    <t>Handbook of Sustainable Development</t>
  </si>
  <si>
    <t>Elgar original reference</t>
  </si>
  <si>
    <t>Atkinson, G.;Dietz, S.;Neumayer, E.</t>
  </si>
  <si>
    <t>HC79.E5 -- .H363 2014eb</t>
  </si>
  <si>
    <t>Die fiducie-sûreté : Eine Untersuchung der französischen Sicherungstreuhand aus deutscher Sicht</t>
  </si>
  <si>
    <t>Fix, Christian</t>
  </si>
  <si>
    <t>BF575.T7 -- .F593 2014eb</t>
  </si>
  <si>
    <t>Building -- Methodology. ; Sustainable buildings -- Design and construction. ; Sustainable design.</t>
  </si>
  <si>
    <t>Handbook of Research on Developing Sustainable Value in Economics, Finance, and Marketing</t>
  </si>
  <si>
    <t>HC79.E5 -- .H328538 2015eb</t>
  </si>
  <si>
    <t>338.9/27 |2 23</t>
  </si>
  <si>
    <t>Sustainable development. ; Environmentalism -- Economic aspects. ; Green marketing. ; Finance -- Environmental aspects. ; Management -- Environmental aspects.</t>
  </si>
  <si>
    <t>Urban Insect Pests : Sustainable Management Strategies</t>
  </si>
  <si>
    <t>Baumann, Gregory;Dhang, Partho;Siddiqi, Zia;Vargo, Ed;Vaidyanathan, Rajeev;Entwestle, Julian;Cooksey, John;Lee, Chow;Rust, Michael;Wang, Changlu</t>
  </si>
  <si>
    <t>SB938 -- .U72 2014eb</t>
  </si>
  <si>
    <t>Insect pests -- Control -- Environmental aspects. ; Urban pests -- Control -- Environmental aspects.</t>
  </si>
  <si>
    <t>Opportunities in the Development of Pakistan's Private Sector</t>
  </si>
  <si>
    <t>Hameed, Sadika</t>
  </si>
  <si>
    <t>HC440.5 -- .H364 2014eb</t>
  </si>
  <si>
    <t>Economic development -- Pakistan. ; Sustainable development -- Pakistan.</t>
  </si>
  <si>
    <t>People, Money and Power in the Economic Crisis : Perspectives from the Global South</t>
  </si>
  <si>
    <t>The Human Economy Ser.</t>
  </si>
  <si>
    <t>Hart, Keith;Sharp, John</t>
  </si>
  <si>
    <t>HC59.72.E5P464 2014</t>
  </si>
  <si>
    <t>Business Transformation and Sustainability through Cloud System Implementation</t>
  </si>
  <si>
    <t>Advances in Business Information Systems and Analytics</t>
  </si>
  <si>
    <t>Soliman, Fawzy</t>
  </si>
  <si>
    <t>HD58.8 -- .B8867 2015eb</t>
  </si>
  <si>
    <t>658/.0546782</t>
  </si>
  <si>
    <t>Organizational change. ; Business logistics. ; Cloud computing. ; Technological innovations.</t>
  </si>
  <si>
    <t>A History of Environmentalism : Local Struggles, Global Histories</t>
  </si>
  <si>
    <t>Armiero, Marco;Sedrez, Lise</t>
  </si>
  <si>
    <t>GE195.H59 2014eb</t>
  </si>
  <si>
    <t>Environmentalism--History--Case studies.</t>
  </si>
  <si>
    <t>Sustainable Economic Development : Resources, Environment, and Institutions</t>
  </si>
  <si>
    <t>Balisacan, Arsenio;Chakravorty, Ujjayant;Ravago, Majah-Leah</t>
  </si>
  <si>
    <t>HC79.E5 -- .S878 2015eb</t>
  </si>
  <si>
    <t>Sustainable development - Government policy</t>
  </si>
  <si>
    <t>Ensuring quality education : Recommendation CM/Rec(2012)13 and explanatory memorandum</t>
  </si>
  <si>
    <t>LA622 -- .E578 2014eb</t>
  </si>
  <si>
    <t>Education -- Europe. ; Effective teaching -- Europe.</t>
  </si>
  <si>
    <t>Mississippi River Water Quality and Interstate Collaboration : Summary of a Workshop</t>
  </si>
  <si>
    <t>National Research Council;Division on Earth and Life Studies;Water Science and Technology Board;Committee on Mississippi River Water Quality Science and Interstate Collaboration</t>
  </si>
  <si>
    <t>Dynamics of Machines and Mechanisms, Industrial Research</t>
  </si>
  <si>
    <t>Balasubramanian, K. R.;Sivapirakasam, S. P.;Anand, R.</t>
  </si>
  <si>
    <t>Engineering: Mechanical</t>
  </si>
  <si>
    <t>Sustainable Cities Development and Environment Protection IV</t>
  </si>
  <si>
    <t>Li, Guang Fan;Chen, Chao He;Jiang, Bi Feng;Shen, Qi Zhong</t>
  </si>
  <si>
    <t>Understanding Markets and Strategy : How to Exploit Markets for Sustainable Business Growth</t>
  </si>
  <si>
    <t>Morley, Malcolm</t>
  </si>
  <si>
    <t>HF5415 -- .M6256 2014eb</t>
  </si>
  <si>
    <t>Marketing. ; Business planning.</t>
  </si>
  <si>
    <t>Urban Farming</t>
  </si>
  <si>
    <t>At Issue Ser.</t>
  </si>
  <si>
    <t>Thompson, Tamara</t>
  </si>
  <si>
    <t>635.09173/2</t>
  </si>
  <si>
    <t>Inorganic and Environmental Materials</t>
  </si>
  <si>
    <t>Fujimoto, Kenjiro;Kawamori, Shigehiro;Cordier, Stephane;Tessier, Franck</t>
  </si>
  <si>
    <t>Science and Engineering of Materials</t>
  </si>
  <si>
    <t>Johan, Mohd Rafie;Noorsaiyyidah, Darman Singho</t>
  </si>
  <si>
    <t>Sustainable Development : An Appraisal from the Gulf Region</t>
  </si>
  <si>
    <t>Sillitoe, Paul</t>
  </si>
  <si>
    <t>HC415.3.Z9E578 2014</t>
  </si>
  <si>
    <t>Solar Energy in Buildings : Thermal Balance for Efficient Heating and Cooling</t>
  </si>
  <si>
    <t>Chwieduk, Dorota</t>
  </si>
  <si>
    <t>Engineering; Engineering: Construction; Engineering: Electrical</t>
  </si>
  <si>
    <t>TK1087 -- .C46 2014eb</t>
  </si>
  <si>
    <t>690/.83704724</t>
  </si>
  <si>
    <t>Building-integrated photovoltaic systems. ; Solar thermal energy. ; Solar buildings. ; Energy conservation.</t>
  </si>
  <si>
    <t>Clean Tech Clean Profits : Using Effective Innovation and Sustainable Business Practices to Win in the New Low-Carbon Economy</t>
  </si>
  <si>
    <t>HD30.255.J65 2014</t>
  </si>
  <si>
    <t>Reactor and Process Design in Sustainable Energy Technology</t>
  </si>
  <si>
    <t>Shi, Fan</t>
  </si>
  <si>
    <t>TD195.E49 -- .S554 2014eb</t>
  </si>
  <si>
    <t>Power resources -- Environmental aspects. ; Sewage -- Purification.</t>
  </si>
  <si>
    <t>Sustainability Science : Managing Risk and Resilience for Sustainable Development</t>
  </si>
  <si>
    <t>Becker, Per</t>
  </si>
  <si>
    <t>HC79.E5 -- .B435 2014eb</t>
  </si>
  <si>
    <t>European and Asian Sustainable Towns : New Towns and Satellite Cities in their Metropolises</t>
  </si>
  <si>
    <t>Gaborit, Pascaline</t>
  </si>
  <si>
    <t>HT241 -- .E976 2014eb</t>
  </si>
  <si>
    <t>Material Science and Environmental Engineering</t>
  </si>
  <si>
    <t>Chen, Ping</t>
  </si>
  <si>
    <t>New Metropolitan Perspectives</t>
  </si>
  <si>
    <t>Bevilacqua, Carmelina;Calabrò, Francesco;Della Spina, Lucia</t>
  </si>
  <si>
    <t>Green Technologies and Sustainable Development in Construction</t>
  </si>
  <si>
    <t>Wu, Xing Kuan;Jibril, Jibril Danazimi;Yakubu Aminu, Dodo;Wu, Jing;Xie, Hao</t>
  </si>
  <si>
    <t>Environmental Noise Pollution : Noise Mapping, Public Health, and Policy</t>
  </si>
  <si>
    <t>Murphy, Enda;King, Eoin A.</t>
  </si>
  <si>
    <t>TD892.M877 2014eb</t>
  </si>
  <si>
    <t>Noise pollution -- Environmental aspects. ; Noise pollution -- Health aspects.</t>
  </si>
  <si>
    <t>Emerging Technologies and Management of Crop Stress Tolerance : Volume 2 - a Sustainable Approach</t>
  </si>
  <si>
    <t>Ahmad, Paraviz;Rasool, Saiema</t>
  </si>
  <si>
    <t>SB112.5.E447 2014eb</t>
  </si>
  <si>
    <t>631.5/82</t>
  </si>
  <si>
    <t>Crop science - Technological innovations</t>
  </si>
  <si>
    <t>Towards Sustainable Road Transport</t>
  </si>
  <si>
    <t>Dell, Ronald M.;Moseley, Patrick T.;Rand, David A. J.;Dell, Ronald M.;Moseley, Patrick T.;Rand, David A. J.</t>
  </si>
  <si>
    <t>HE151 -- .T69 2014eb</t>
  </si>
  <si>
    <t>Transportation.</t>
  </si>
  <si>
    <t>Water Reclamation and Sustainability</t>
  </si>
  <si>
    <t>Ahuja, Satinder</t>
  </si>
  <si>
    <t>TD429 -- .W38 2014eb</t>
  </si>
  <si>
    <t>Water reuse. ; Water -- Purification. ; Water quality management. ; Green chemistry.</t>
  </si>
  <si>
    <t>Towards Conservation of Omani Local Chicken : Management, Performance and Genetic Diversity</t>
  </si>
  <si>
    <t>Al-Qamashoui, Badar</t>
  </si>
  <si>
    <t>SF492$b.T693 2014</t>
  </si>
  <si>
    <t>Chickens-Genetics.</t>
  </si>
  <si>
    <t>Biological Control of Plant-Parasitic Nematodes : Soil Ecosystem Management in Sustainable Agriculture</t>
  </si>
  <si>
    <t xml:space="preserve">Stirling, Graham;Stirling, G R </t>
  </si>
  <si>
    <t>SB998.N4 -- .S757 2014eb</t>
  </si>
  <si>
    <t>Plant nematodes -- Soil management. ; Soil management.</t>
  </si>
  <si>
    <t>Material Science, Manufacturing Technology and Advanced Design Technology</t>
  </si>
  <si>
    <t>Xu, Qingzhou</t>
  </si>
  <si>
    <t>TS171.M384 2014eb</t>
  </si>
  <si>
    <t>EnviBUILD Buildings and Environment 2013</t>
  </si>
  <si>
    <t>Maňková, Lucia;Hanuliak, Peter</t>
  </si>
  <si>
    <t>Environmental Protection and Sustainable Development</t>
  </si>
  <si>
    <t>Hamid, Fauziah Shahul;Choi, Seung Bok;Han, Li Yuan</t>
  </si>
  <si>
    <t>Global Sustainable Communities Handbook : Green Design Technologies and Economics</t>
  </si>
  <si>
    <t>HC79.E5 -- C565 2014eb</t>
  </si>
  <si>
    <t>Sustainable design</t>
  </si>
  <si>
    <t>The Ecological and Economic Challenges of Managing Forested Landscapes in a Global Context : Proceedings of the 4th International DAAD Workshop</t>
  </si>
  <si>
    <t>Kleinn, Christoph;Kleinn, Alina;Fehrmann, Lutz</t>
  </si>
  <si>
    <t>SD373.E265 2014</t>
  </si>
  <si>
    <t>Sustainability in Engineering Design</t>
  </si>
  <si>
    <t>Johnson, Anthony;Gibson, Andy</t>
  </si>
  <si>
    <t>TA174 -- .J64 2014eb</t>
  </si>
  <si>
    <t>620/.00420286</t>
  </si>
  <si>
    <t>Engineering design -- Textbooks. ; Sustainable engineering -- Textbooks.</t>
  </si>
  <si>
    <t>Special issue dedicated to the 8th Conference on Sustainable Development of Energy, Water and Environment Systems</t>
  </si>
  <si>
    <t>Management of Environmental Quality: An International Journal: Volume 25, Issue 3</t>
  </si>
  <si>
    <t>Filho, Walter;Markovska, Natasa;Duic, Neven</t>
  </si>
  <si>
    <t>HC79.E5 -- .S643 2014eb</t>
  </si>
  <si>
    <t>Environmental policy -- Congresses. ; Natural resources -- Management -- Congresses. ; Renewable energy sources -- Congresses. ; Sustainable development -- Congresses. ; Water resources development -- Congresses.</t>
  </si>
  <si>
    <t>Cases on Pedagogical Innovations for Sustainable Development</t>
  </si>
  <si>
    <t>Practice, Progress, and Proficiency in Sustainability:</t>
  </si>
  <si>
    <t>Thomas, Ken D.;Muga, Helen E.</t>
  </si>
  <si>
    <t>HC79.E5 -- .T466 2014eb</t>
  </si>
  <si>
    <t>338.9/27071</t>
  </si>
  <si>
    <t>Sustainable development -- Study and teaching.</t>
  </si>
  <si>
    <t>Environmental and Natural Resource Economics: an Encyclopedia</t>
  </si>
  <si>
    <t>Haab, Timothy C.;Whitehead, John C.;Caviglia, Jill L.;Haab, Timothy C , PH.D.</t>
  </si>
  <si>
    <t>HC79.E5E7434 2014</t>
  </si>
  <si>
    <t>Environmental economics</t>
  </si>
  <si>
    <t>Sustainable Animal Agriculture</t>
  </si>
  <si>
    <t>Kebreab, Ermias</t>
  </si>
  <si>
    <t>SF41 -- .S87 2013eb</t>
  </si>
  <si>
    <t>Animal culture. ; Sustainable agriculture.</t>
  </si>
  <si>
    <t>Natural Disasters and Sustainable Development : Proceedings of the International Seminar held in Göttingen, Germany 17 – 18 April 2013</t>
  </si>
  <si>
    <t>Meliczek, Hans;Kätsch, Christoph</t>
  </si>
  <si>
    <t>B5001.N388 2014</t>
  </si>
  <si>
    <t>Natural disasters--Prevention--Congresses.</t>
  </si>
  <si>
    <t>World Trends in Education for Sustainable Development</t>
  </si>
  <si>
    <t>Leal Filho, Walter</t>
  </si>
  <si>
    <t>GE70 -- .W67 2011eb</t>
  </si>
  <si>
    <t>Sustainable development -- Study and teaching. ; Environmental education.</t>
  </si>
  <si>
    <t>Sustainable Development of Industry and Economy</t>
  </si>
  <si>
    <t>Xu, Qun Jie;Li, Hui;Li, Qiao Xia</t>
  </si>
  <si>
    <t>HC79.E5.I584 2014eb</t>
  </si>
  <si>
    <t>TD195.T48 -- .M884 2014eb</t>
  </si>
  <si>
    <t>Textile industry -- Environmental aspects.</t>
  </si>
  <si>
    <t>The Language Environment of First Century Judaea : Jerusalem Studies in the Synoptic Gospels--Volume Two</t>
  </si>
  <si>
    <t>Jewish and Christian Perspectives Ser.</t>
  </si>
  <si>
    <t>Buth, Randall;Notley, R. Steven</t>
  </si>
  <si>
    <t>Green Technology Applications for Enterprise and Academic Innovation</t>
  </si>
  <si>
    <t>Ariwa, Ezendu</t>
  </si>
  <si>
    <t>HC59.72.E5 -- .A759 2014eb</t>
  </si>
  <si>
    <t>Sustainable development -- Developing countries. ; Information technology -- Environmental aspects -- Developing countries.</t>
  </si>
  <si>
    <t>4th Mechanical and Manufacturing Engineering</t>
  </si>
  <si>
    <t>Ismail, Al Emran;Muhd Nor, Nik Hisyamudin;Mohd Ali, Mas Fauzi;Ahmad, Rosli;Masood, Ibrahim;Mohd Tobi, Abdul Latif;Abdul Ghafir, Mohammad Fahmi;Mohammad, Musli;Wahab, Saidin;Zain, Badrul Aisham</t>
  </si>
  <si>
    <t>TS176.I584 2014eb</t>
  </si>
  <si>
    <t>CIUTI-Forum 2013 : Facing the World’s New Challenges. The Role of T &amp; I in Providing Integrated Efficient and Sustainable Solutions</t>
  </si>
  <si>
    <t>Of Empire and the City</t>
  </si>
  <si>
    <t>Forstner, Martin;Garbovskiy, Nikolai K.;Lee-Jahnke, Hannelore</t>
  </si>
  <si>
    <t>P306.5 -- .C56 2013eb</t>
  </si>
  <si>
    <t>Translating and interpreting -- Congresses. ; Translators -- Training of -- Congresses. ; Language and culture -- Congresses.</t>
  </si>
  <si>
    <t>Conservation Agriculture : Global Prospects and Challenges</t>
  </si>
  <si>
    <t>Kassam, Amir;Jat, Ram;Sahrawat, Kanwar</t>
  </si>
  <si>
    <t>S604.5 -- .J38 2014eb</t>
  </si>
  <si>
    <t>Agricultural conservation. ; Sustainable agriculture.</t>
  </si>
  <si>
    <t>Die Kooperationsvereinbarungen der Sekretariate multilateraler Umweltschutzübereinkommen</t>
  </si>
  <si>
    <t>Jus Internationale et Europaeum</t>
  </si>
  <si>
    <t>Böhringer, Ayşe-Martina</t>
  </si>
  <si>
    <t>K3585 -- .B64 2014eb</t>
  </si>
  <si>
    <t>Environmental law, International. ; Sustainable development -- Law and legislation. ; Euthenics -- International law. ; Nature and nurture -- International law. ; Adaptation (Biology) -- International law. ; Ecology -- International law.</t>
  </si>
  <si>
    <t>Sustainability Science for Social, Economic, and Environmental Development</t>
  </si>
  <si>
    <t>Ghosh, Nilanjan;Goswami, Anandajit</t>
  </si>
  <si>
    <t>HC79.E5 -- .G49 2014eb</t>
  </si>
  <si>
    <t>Crisis and Sustainability: Responses from Different Positions : 14th Annual Conference of the Faculty of Economics and Business Administration Sofia, 7-8 October 2011</t>
  </si>
  <si>
    <t>Chobanov, George;Plöhn, Jürgen;Plohn, Jurgen</t>
  </si>
  <si>
    <t>HB3782 -- .C755 2013eb</t>
  </si>
  <si>
    <t>Financial crises -- Europe -- Congresses. ; Sustainable development -- Europe -- Congresses. ; Europe -- Economic policy -- Congresses. ; Europe -- Social policy -- Congresses.</t>
  </si>
  <si>
    <t>Unité et Diversité du Droit International/Unity and Diversity of International Law : Ecrits en l'honneur du Professeur Pierre-Marie Dupuy/Essays in Honour of Professor Pierre-Marie Dupuy</t>
  </si>
  <si>
    <t>Alland, Denis;Chetail, Vincent;de Frouville, Olivier;Viñuales, Jorge E.</t>
  </si>
  <si>
    <t>KZ3410.U558 2014eb</t>
  </si>
  <si>
    <t>Advanced Design and Manufacture V</t>
  </si>
  <si>
    <t>Su, Dai Zhong;Zhu, Shi Fan</t>
  </si>
  <si>
    <t>Business/Management; Engineering: General; Engineering</t>
  </si>
  <si>
    <t>TS183.A38 2014eb</t>
  </si>
  <si>
    <t>Klimaschutz als Rechtsproblem : Steuerung durch Preisinstrumente vor dem Hintergrund einer parallelen Evolution von Klimaschutzregimes verschiedener Staaten</t>
  </si>
  <si>
    <t>Ismer, Roland</t>
  </si>
  <si>
    <t>QC981.8.C5 -- .I86 2014eb</t>
  </si>
  <si>
    <t>Climatic changes. ; Economic development -- Environmental aspects -- Developing countries. ; Sustainable development.</t>
  </si>
  <si>
    <t>Origins: a Sustainable Concept in Education</t>
  </si>
  <si>
    <t>Dervin, Fred;Ragnarsdóttir, Hanna</t>
  </si>
  <si>
    <t>Multicultural education. ; Identity (Psychology)</t>
  </si>
  <si>
    <t>Natural Science Education, Indigenous Knowledge, and Sustainable Development in Rural and Urban Schools in Kenya : Toward Critical Postcolonial Curriculum Policies and Practices</t>
  </si>
  <si>
    <t>Cultural and Historical Perspectives on Science Education Ser.</t>
  </si>
  <si>
    <t>O'Hern, Darren;Nozaki, Yoshiko;Tobin, Kenneth</t>
  </si>
  <si>
    <t>Science -- Study and teaching (Secondary) -- Kenya.</t>
  </si>
  <si>
    <t>Sustainable Practices : Concepts, Methodologies, Tools and Applications</t>
  </si>
  <si>
    <t>HC79.E5 -- S86875 2014eb</t>
  </si>
  <si>
    <t>Environmentalism. ; Sustainability. ; Sustainable development.</t>
  </si>
  <si>
    <t>Civil Engineering, Architecture and Sustainable Infrastructure II</t>
  </si>
  <si>
    <t>Zhao, Shun Bo;Xie, Yi Min;Liu, Han Dong;Gao, Dan Ying</t>
  </si>
  <si>
    <t>Global Voices and Global Visions : Education for Excellence, Understanding, Peace and Sustainability</t>
  </si>
  <si>
    <t>Gunzelmann, Betsy</t>
  </si>
  <si>
    <t>LC1090 -- .G84 2014eb</t>
  </si>
  <si>
    <t>Manufacturing Science and Technology (ICMST2013)</t>
  </si>
  <si>
    <t>Ghanbari, Ahmad</t>
  </si>
  <si>
    <t>TS176.I58 2013eb</t>
  </si>
  <si>
    <t>Environmental Movements Around the World: Shades of Green in Politics and Culture [2 Volumes] : Shades of Green in Politics and Culture</t>
  </si>
  <si>
    <t>Doyle, Timothy;MacGregor, Sherilyn</t>
  </si>
  <si>
    <t>GE195 -- .E584 2013eb</t>
  </si>
  <si>
    <t>Environmentalism. ; Environmental sciences. ; Environmental policy.</t>
  </si>
  <si>
    <t>Sustainable Development and Environment II</t>
  </si>
  <si>
    <t>Yang, Wei Jun;Liang, Jian Guo</t>
  </si>
  <si>
    <t>HC79.E5.I58 2013eb</t>
  </si>
  <si>
    <t>Lead Agency : UNESCO’s Global Leadership and Co-ordination Role for the United Nations Decade of Education for Sustainable Development (2005–2014)</t>
  </si>
  <si>
    <t>Dresdner Schriften zu Recht und Politik der Vereinten Nationen / Dresden Papers on Law and Policy of the United Nations</t>
  </si>
  <si>
    <t>Gerner, Martin</t>
  </si>
  <si>
    <t>K3710 -- .G47 2013eb</t>
  </si>
  <si>
    <t>Unesco. ; United Nations Decade of Education for Sustainable Development, 2005-2014. ; Law and economic development. ; Economic development -- Effect of education on. ; Sustainable development -- Law and legislation. ; International agencies -- Law and legislation.</t>
  </si>
  <si>
    <t>Assurer une éducation de qualité : Recommandation CM/Rec(2012)13 et exposé des motifs</t>
  </si>
  <si>
    <t>LA622 -- .A878 2014eb</t>
  </si>
  <si>
    <t>Education -- Europe. ; Total quality management in education -- Europe. ; Effective teaching -- Europe.</t>
  </si>
  <si>
    <t>Gewährleistung einer hochwertigen Bildung : Empfehlung CM/Rec(2012)13 und Bergründungstext</t>
  </si>
  <si>
    <t>LB2806 -- .G493 2014eb</t>
  </si>
  <si>
    <t>Educational accountability -- Europe. ; Educational evaluation -- Europe.</t>
  </si>
  <si>
    <t>International Business Strategy and Entrepreneurship : An Information Technology Perspective</t>
  </si>
  <si>
    <t>HD30.2 -- .I556528 2014eb</t>
  </si>
  <si>
    <t>Management -- Technological innovations. ; Business planning. ; Strategic planning. ; Sustainable development.</t>
  </si>
  <si>
    <t>2nd International Conference on Sustainable Materials (ICoSM 2013)</t>
  </si>
  <si>
    <t>Zaki, Ruhiyuddin Mohd;Pa, Faizul Che;Murizam, Darus</t>
  </si>
  <si>
    <t>TA403.6.I58 2013eb</t>
  </si>
  <si>
    <t>Bildung fuer Nachhaltige Entwicklung in der Schule : Ein Studienbuch</t>
  </si>
  <si>
    <t>Umweltbildung und Zukunftsfaehigkeit</t>
  </si>
  <si>
    <t>Hauenschild, Katrin;Bolscho, Dietmar</t>
  </si>
  <si>
    <t>HC79.E5 -- .H384 2009eb</t>
  </si>
  <si>
    <t>Sustainable development -- Study and teaching -- Textbooks. ; Environmental education -- Social aspects. ; Environmental management.</t>
  </si>
  <si>
    <t>The Resilience of the Electric Power Delivery System in Response to Terrorism and Natural Disasters : Summary of a Workshop</t>
  </si>
  <si>
    <t>National Research Council;Division on Engineering and Physical Sciences;Board on Energy and Environmental Systems;Planning Committee for the Workshop on the Resilience of the Electric Power System to Terrorism and Natural Disasters;Cooke, David W.</t>
  </si>
  <si>
    <t>TK454.2.R47 2013eb</t>
  </si>
  <si>
    <t>Nachhaltiges Flaechenmanagement : Flaechensparen, aber wie?</t>
  </si>
  <si>
    <t>Stadt und Region als Handlungsfeld</t>
  </si>
  <si>
    <t>Scholich, Dietmar;Neubert, Lena</t>
  </si>
  <si>
    <t>HD108.3 -- .N33 2013eb</t>
  </si>
  <si>
    <t>Land use. ; Sustainability. ; Sustainable development.</t>
  </si>
  <si>
    <t>Materials, Transportation and Environmental Engineering</t>
  </si>
  <si>
    <t>Kao, Jimmy Chih Ming;Sung, Wen Pei;Chen, Ran</t>
  </si>
  <si>
    <t>TA170.I584 2013eb</t>
  </si>
  <si>
    <t>New Medinas: Towards Sustainable New Towns? : Interconnected Experiences Spanning the North and South Mediterranean</t>
  </si>
  <si>
    <t>HT395.M43 -- T69 2013eb</t>
  </si>
  <si>
    <t>Regional planning -- Mediterranean Region. ; City planning -- Mediterranean Region. ; New towns -- Mediterranean Region.</t>
  </si>
  <si>
    <t>Institutional and Livelihood Changes in East African Forest Landscapes : Decentralization and Institutional Change for Sustainable Forest Management in Uganda, Kenya, Tanzania and Ethiopia</t>
  </si>
  <si>
    <t>Gatzweiler, Franz</t>
  </si>
  <si>
    <t>SD387.S87 -- G38 2013eb</t>
  </si>
  <si>
    <t>Forest management. ; Sustainable forestry.</t>
  </si>
  <si>
    <t>Nachhaltigkeitsberichterstattung in Deutschland und den USA : Berichtspraxis, Determinanten und Eigenkapitalkostenwirkungen</t>
  </si>
  <si>
    <t>Muensteraner Schriften zur Internationalen Unternehmensrechnung</t>
  </si>
  <si>
    <t>Blaesing, Daniel</t>
  </si>
  <si>
    <t>HD60.3 -- .B53 2013eb</t>
  </si>
  <si>
    <t>Sustainable development reporting.</t>
  </si>
  <si>
    <t>Industrial Technologies for Sustainable Development</t>
  </si>
  <si>
    <t>Wu, Yi Jin</t>
  </si>
  <si>
    <t>TS163.3.I54 2013eb</t>
  </si>
  <si>
    <t>Frontiers of Green Building, Materials and Civil Engineering III</t>
  </si>
  <si>
    <t>TH880.I58 2013eb</t>
  </si>
  <si>
    <t>Energy Efficient Technologies for Sustainability</t>
  </si>
  <si>
    <t>Raj, R. Edwin;Sekhar, S. Joseph;Daniel, B. S. Sunder</t>
  </si>
  <si>
    <t>TJ163.27.I58 2013eb</t>
  </si>
  <si>
    <t>Toward a New Paradigm of Sustainable Development : Lessons from the Partnership for Growth</t>
  </si>
  <si>
    <t>Jensen, Jeri</t>
  </si>
  <si>
    <t>HC79.E5 -- J46 2013eb</t>
  </si>
  <si>
    <t>Sustainable Cities Development and Environment Protection</t>
  </si>
  <si>
    <t>Xu, Nu Wen;Tian, Li;Dai, Feng</t>
  </si>
  <si>
    <t>HT241.I58 2013eb</t>
  </si>
  <si>
    <t>Interdisciplinary Research in Engineering: Steps Towards Breakthrough Innovation for Sustainable Development</t>
  </si>
  <si>
    <t>Vlaicu, Aurel;Brad, Stelian</t>
  </si>
  <si>
    <t>TA160.I58 2013eb</t>
  </si>
  <si>
    <t>E-Innovation for Sustainable Development of Rural Resources During Global Economic Crisis</t>
  </si>
  <si>
    <t xml:space="preserve">Andreopoulou, Zacharoula;Samathrakis, Vagis;Louca, Soulla ;Vlachopoulou, Maro </t>
  </si>
  <si>
    <t>HC240.9.I55 -- E436 2014eb</t>
  </si>
  <si>
    <t>338.94/07</t>
  </si>
  <si>
    <t>Information technology -- Economic aspects -- Europe. ; Rural development -- Europe. ; Sustainable development -- Europe. ; Technological innovations -- Economic aspects -- Europe.</t>
  </si>
  <si>
    <t>Biofuel Crops : Production, Physiology and Genetics</t>
  </si>
  <si>
    <t>Anzoua, Kossonou Guillaume;Singh, Bharat;Banga, Surinder S.;Banuelos, Gary Stephan;Betts, Natalie S.;Bhargava, Sujata;Biswas, T. K.;Bracconnier, Serge;Burton, Rachel A.;Byrt, Caitlin S.</t>
  </si>
  <si>
    <t>SB288 -- .B57 2013eb</t>
  </si>
  <si>
    <t>Sustainable development. ; Entrepreneurship. ; Environmental ethics.</t>
  </si>
  <si>
    <t>Resources and Sustainable Development</t>
  </si>
  <si>
    <t>Wu, Jian Guo;Lu, Xi Xi;Xu, He;Nakagoshi, Nobukazu</t>
  </si>
  <si>
    <t>HC79.E5.I5329 2013eb</t>
  </si>
  <si>
    <t>Green Manufacturing, Mechanical and Automation Engineering</t>
  </si>
  <si>
    <t>Qu, Xi Long</t>
  </si>
  <si>
    <t>TS171.4.G74 2013eb</t>
  </si>
  <si>
    <t>Business Models for Sustainability</t>
  </si>
  <si>
    <t>Wells, P.E.</t>
  </si>
  <si>
    <t>HD30.255 -- .W45 2013eb</t>
  </si>
  <si>
    <t>Industrial management -- Environmental aspects. ; Business enterprises -- Environmental aspects. ; Social responsibility of business. ; Environmental responsibility.</t>
  </si>
  <si>
    <t>Regulating Disasters, Climate Change and Environmental Harm : Lessons from the Indonesian Experience</t>
  </si>
  <si>
    <t>Faure, M.;Wibisana, A.</t>
  </si>
  <si>
    <t>HV551.2 -- .R44 2013eb</t>
  </si>
  <si>
    <t>Emergency management. ; Emergency management -- Indonesia -- Case studies. ; Climatic changes -- Environmental aspects. ; Climatic changes -- Environmental aspects -- Indonesia -- Case studies.</t>
  </si>
  <si>
    <t>Innovation and Sustainable Technology in Road and Airfield Pavement</t>
  </si>
  <si>
    <t>Chang, Jia-Ruey;Yang, Shu-Rong</t>
  </si>
  <si>
    <t>TE250.I634 2013eb</t>
  </si>
  <si>
    <t>Transparency for Sustainability in the Food Chain : Challenges and Research Needs EFFoST Critical Reviews #2</t>
  </si>
  <si>
    <t>Schiefer, Gerhard;Deiters, Jivka</t>
  </si>
  <si>
    <t>HD30.255.S3 2013eb</t>
  </si>
  <si>
    <t>Business enterprises -- Environmental aspects. ; Social responsibility of business. ; Sustainability.</t>
  </si>
  <si>
    <t>Rambunctious Garden : Saving Nature in a Post-Wild World</t>
  </si>
  <si>
    <t>Bloomsbury USA</t>
  </si>
  <si>
    <t>Science; Environmental Studies; Economics; Science: Biology/Natural History</t>
  </si>
  <si>
    <t>QH75 .M377 2011</t>
  </si>
  <si>
    <t>Nature conservation. ; Wilderness areas-Environmental aspects. ; Restoration ecology.</t>
  </si>
  <si>
    <t>Managing Ocean Environments in a Changing Climate : Sustainability and Economic Perspectives</t>
  </si>
  <si>
    <t>Noone, Kevin J.;Sumaila, Ussif Rashid;Diaz, Robert J.;Diaz, Robert J.</t>
  </si>
  <si>
    <t>QH541.5.S3.M36 2013</t>
  </si>
  <si>
    <t>Marine ecology. ; Marine pollution. ; Marine resources conservation.</t>
  </si>
  <si>
    <t>Recent Advancement on Material Science and Manufacturing Technologies</t>
  </si>
  <si>
    <t>Xu, Qing Zhou</t>
  </si>
  <si>
    <t>TS176.I582 2013eb</t>
  </si>
  <si>
    <t>Marine Technology and Sustainable Development : Green Innovations</t>
  </si>
  <si>
    <t>Advances in Environmental Engineering and Green Technologies:</t>
  </si>
  <si>
    <t xml:space="preserve">Olanrewaju, Oladokun Sulaiman;Saharuddin, Abdul Hamid;Ab Kader, Ab Saman;Wan Nik, Wan Mohd Norsani </t>
  </si>
  <si>
    <t>Military Science; Engineering: General; Engineering: Mechanical; Engineering</t>
  </si>
  <si>
    <t>VM605 -- .O53 2013eb</t>
  </si>
  <si>
    <t>623.8028/6</t>
  </si>
  <si>
    <t>Green technology -- Technological innovations. ; Marine engineering -- Environmental aspects. ; Shipping -- Environmental aspects. ; Ships -- Energy conservation. ; Ships -- Environmental aspects.</t>
  </si>
  <si>
    <t>Sustainability and Transformation in European Social Policy</t>
  </si>
  <si>
    <t>Garcés Ferrer, Jorge;Monsonís Payá, Irene</t>
  </si>
  <si>
    <t>HN373.5 -- .G37 2013eb</t>
  </si>
  <si>
    <t>Europe -- Social policy.</t>
  </si>
  <si>
    <t>Green Building Technologies and Materials II</t>
  </si>
  <si>
    <t>Cheng, Zhi Li;Guo, Li Qun;Wu, Jing</t>
  </si>
  <si>
    <t>TH880.G74 2012eb</t>
  </si>
  <si>
    <t>Manufacturing Process and Equipment</t>
  </si>
  <si>
    <t>Liu, Xiang Hua;Zhang, Kai Feng;Li, Ming Zhe</t>
  </si>
  <si>
    <t>TS183.I584 2013eb</t>
  </si>
  <si>
    <t>Green Atlas : A Multimedia Reference</t>
  </si>
  <si>
    <t>The SAGE Reference Series on Green Society: Toward a Sustainable Future-Series Editor: Paul Robbins Ser.</t>
  </si>
  <si>
    <t>Mulvaney, Dustin R.</t>
  </si>
  <si>
    <t>G1046.E1 .G744 2013</t>
  </si>
  <si>
    <t>Human ecology-Maps. ; Environmentalism.</t>
  </si>
  <si>
    <t>Sustainability Integration for Effective Project Management</t>
  </si>
  <si>
    <t>Silvius, Gilbert;Tharp, Jennifer</t>
  </si>
  <si>
    <t>HD69.P75 -- S55 2013eb</t>
  </si>
  <si>
    <t>Management -- Environmental aspects. ; Project management -- Environmental aspects.</t>
  </si>
  <si>
    <t>Strategic Role of Tertiary Education and Technologies for Sustainable Competitive Advantage</t>
  </si>
  <si>
    <t>Advances in Educational Marketing, Administration, and Leadership</t>
  </si>
  <si>
    <t>Ordóñez de Pablos, Patricia;Tennyson, Robert D.</t>
  </si>
  <si>
    <t>LC67.6 -- .S76 2013eb</t>
  </si>
  <si>
    <t>Economic development -- Effect of education on. ; Education, Higher -- Economic aspects. ; Educational technology. ; Information technology. ; Organizational learning.</t>
  </si>
  <si>
    <t>The Economics of Electricity Markets : Theory and Policy</t>
  </si>
  <si>
    <t>Loyola de Palacio Series on European Energy Policy</t>
  </si>
  <si>
    <t xml:space="preserve">Ranci, Pippo;Cervigni, Guido;Cervigni, Guido </t>
  </si>
  <si>
    <t>HD9685.A2 -- E36 2013eb</t>
  </si>
  <si>
    <t>Electric utilities -- Economic aspects. ; Electric power production -- Environmental aspects. ; Energy policy.</t>
  </si>
  <si>
    <t>Green Technologies for Sustainable and Innovation in Materials</t>
  </si>
  <si>
    <t>Harun, M. K.;Yahya, Muhd Zu Azhan;Abdullah, Saifolah;Chan, Chin Han</t>
  </si>
  <si>
    <t>TD153.I58 2013eb</t>
  </si>
  <si>
    <t>Waste-to-Resources 2013 : V International Symposium MBT and MRF</t>
  </si>
  <si>
    <t>Balhar, Michael;Kühle-Weidemeier, Matthias</t>
  </si>
  <si>
    <t>TD791.K845 2013</t>
  </si>
  <si>
    <t>Refuse and refuse disposal.</t>
  </si>
  <si>
    <t>Waste-to-Resources 2013 : 5. Internationale Tagung MBA, Sortierung und Recycling</t>
  </si>
  <si>
    <t>TD791.W378 2013</t>
  </si>
  <si>
    <t>Moving Towards Low Carbon Mobility</t>
  </si>
  <si>
    <t>Givoni, M.;Banister, D.</t>
  </si>
  <si>
    <t>HE147.65 -- .M685 2013eb</t>
  </si>
  <si>
    <t>Transportation -- Environmental aspects. ; Environmental protection.</t>
  </si>
  <si>
    <t>Household Sustainability : Challenges and Dilemmas in Everyday Life</t>
  </si>
  <si>
    <t>Gibson, C.;Farbotko, C.;Gill, N.</t>
  </si>
  <si>
    <t>GE196 -- .H68 2013eb</t>
  </si>
  <si>
    <t>Sustainable living. ; Household ecology.</t>
  </si>
  <si>
    <t>Sustainable Technologies, Policies, and Constraints in the Green Economy</t>
  </si>
  <si>
    <t xml:space="preserve">Jean-Vasile, Andrei;Adrian, Turek Rahoveanu;Subic, Jonel;Dusmanescu, Dorel </t>
  </si>
  <si>
    <t>HC79.E5 -- S86887 2013eb</t>
  </si>
  <si>
    <t>Forging a Consensus for a Sustainable U.S. Nuclear Posture</t>
  </si>
  <si>
    <t>Murdock, Clark A.;Spies, Stephanie;Warden, John</t>
  </si>
  <si>
    <t>UA23 -- .M87 2013eb</t>
  </si>
  <si>
    <t>Nuclear weapons -- United States. ; Nuclear weapons -- Government policy -- United States. ; Nuclear nonproliferation -- Government policy -- United States. ; Deterrence (Strategy) ; National security -- United States.</t>
  </si>
  <si>
    <t>The Ecology of Money : Debt, Growth, and Sustainability</t>
  </si>
  <si>
    <t>Kuzminski, Adrian</t>
  </si>
  <si>
    <t>HG221 -- .K896 2013eb</t>
  </si>
  <si>
    <t>Usury</t>
  </si>
  <si>
    <t>Encyclopedia of Energy, Natural Resource, and Environmental Economics</t>
  </si>
  <si>
    <t>Shogren, Jason</t>
  </si>
  <si>
    <t>TJ163.16 -- .E53 2013eb</t>
  </si>
  <si>
    <t>Power resources -- Encyclopedias. ; Environmental economics -- Encyclopedias.</t>
  </si>
  <si>
    <t>Moeglichkeiten einer Projektfinanzierung bei CSP-Vorhaben</t>
  </si>
  <si>
    <t>Schriften zur empirischen Wirtschaftsforschung</t>
  </si>
  <si>
    <t>Böttcher, Jörg;Bottcher, Jorg</t>
  </si>
  <si>
    <t>HD9681.A2 -- B68 2012eb</t>
  </si>
  <si>
    <t>Solar power plants -- Economic aspects. ; Solar thermal energy. ; Sustainable development.</t>
  </si>
  <si>
    <t>Bildung fuer nachhaltige Entwicklung : Aktuelle theoretische Konzepte und Beispiele praktischer Umsetzung</t>
  </si>
  <si>
    <t>Psychologie und Gesellschaft</t>
  </si>
  <si>
    <t>Pütz, Norbert;Schweer, Martin K. W.;Logemann, Niels;Putz, Norbert</t>
  </si>
  <si>
    <t>GE70 -- .P88 2013eb</t>
  </si>
  <si>
    <t>Environmental education. ; Sustainable development -- Study and teaching.</t>
  </si>
  <si>
    <t>Handbook on Energy and Climate Change</t>
  </si>
  <si>
    <t>Elgar Original Reference</t>
  </si>
  <si>
    <t>Fouquet, R.</t>
  </si>
  <si>
    <t>Environmental Studies; Engineering: Mechanical; Economics; Engineering</t>
  </si>
  <si>
    <t>TJ163.2 -- .H363 2013eb</t>
  </si>
  <si>
    <t>Power resources. ; Power resources -- Environmental aspects. ; Climatic changes -- Environmental aspects.</t>
  </si>
  <si>
    <t>Weak versus Strong Sustainability : Exploring the Limits of Two Opposing Paradigms</t>
  </si>
  <si>
    <t>Neumayer, E.</t>
  </si>
  <si>
    <t>HC79.E5 -- .N486 2013eb</t>
  </si>
  <si>
    <t>The Efficiency Trap : Finding a Better Way to Achieve a Sustainable Energy Future</t>
  </si>
  <si>
    <t>Hallett, Steve</t>
  </si>
  <si>
    <t>TJ808 .H345 2013</t>
  </si>
  <si>
    <t>Industrial efficiency-Social aspects-United States. ; Renewable energy sources-United States. ; Renewable energy sources-Forecasting. ; Industrial efficiency-Social aspects. ; Renewable energy sources.</t>
  </si>
  <si>
    <t>Health, Structure, Material and Environment</t>
  </si>
  <si>
    <t>Wu, Yun;Wu, Yi Jin</t>
  </si>
  <si>
    <t>QH541.15.M64.I58 20</t>
  </si>
  <si>
    <t>Biomass Combustion Science, Technology and Engineering</t>
  </si>
  <si>
    <t>Rosendahl, Lasse</t>
  </si>
  <si>
    <t>Engineering: Chemical; Engineering; Engineering: Environmental</t>
  </si>
  <si>
    <t>TD195.B56.B56 2013eb</t>
  </si>
  <si>
    <t>Biomass energy -- Environmental aspects. ; Clean energy industries.</t>
  </si>
  <si>
    <t>Corporate Governance Ethics and CSR</t>
  </si>
  <si>
    <t>Simpson, Justine;Taylor, John R.</t>
  </si>
  <si>
    <t>HD2741.S58 2013</t>
  </si>
  <si>
    <t>Business ethics. ; Corporate governance. ; Organizational behavior. ; Social responsibility of business.</t>
  </si>
  <si>
    <t>Technology, Sustainability, and Rural Development in Africa</t>
  </si>
  <si>
    <t xml:space="preserve">Maumbe, Blessing;Okello, Julius J.;Okello, Julius J </t>
  </si>
  <si>
    <t>HC800.Z9 -- I5585 2013eb</t>
  </si>
  <si>
    <t>303.48/33096</t>
  </si>
  <si>
    <t>Information technology -- Economic aspects -- Africa. ; Rural development -- Africa. ; Sustainable development.</t>
  </si>
  <si>
    <t>The Role of Catalysis for the Sustainable Production of Bio-Fuels and Bio-chemicals</t>
  </si>
  <si>
    <t>Triantafyllidis, Kostas;Lappas, Angelos;Stöcker, M.;Triantafyllidis, Kostas;Lappas, Angelos;Stöcker, M.</t>
  </si>
  <si>
    <t>TP339 -- .R65 2013eb</t>
  </si>
  <si>
    <t>Catalysis</t>
  </si>
  <si>
    <t>Green and Sustainable Computing: Part II</t>
  </si>
  <si>
    <t>Memon, Atif</t>
  </si>
  <si>
    <t>QA76.9.E58 -- G74 2013eb</t>
  </si>
  <si>
    <t>Computers -- Environmental aspects. ; Sustainability.</t>
  </si>
  <si>
    <t>Advances in Civil Infrastructure Engineering</t>
  </si>
  <si>
    <t>Zhou, Xian Yan;He, Guo Jing;Fan, Yun Lei;Xiao, Yan;Kunnath, Sashi K.;Monti, Giorgio</t>
  </si>
  <si>
    <t>TA153.A39 2012eb</t>
  </si>
  <si>
    <t>Handbook on Experimental Economics and the Environment</t>
  </si>
  <si>
    <t>List, John A.;Price, Michael K.</t>
  </si>
  <si>
    <t>HC79.E5 -- H36 2013eb</t>
  </si>
  <si>
    <t>Environmental economics -- Research. ; Experimental economics.</t>
  </si>
  <si>
    <t>Climate Change and International Trade</t>
  </si>
  <si>
    <t>Leal-Arcas, Rafael</t>
  </si>
  <si>
    <t>K3943 -- .L43 2013eb</t>
  </si>
  <si>
    <t>Foreign trade regulation -- Environmental aspects. ; International trade -- Environmental aspects. ; Climatic changes -- Government policy.</t>
  </si>
  <si>
    <t>Energy, Environment and Sustainable Development</t>
  </si>
  <si>
    <t>Chang, Tianharry</t>
  </si>
  <si>
    <t>TD195.E49.E54 2012eb</t>
  </si>
  <si>
    <t>Oekologische Industriepolitik in Deutschland und Europa : Eine volkswirtschaftliche Analyse des Konzeptes</t>
  </si>
  <si>
    <t>Europaeische Hochschulschriften / European University Studies / Publications Universitaires Européennes</t>
  </si>
  <si>
    <t>Rakow, Bastian</t>
  </si>
  <si>
    <t>HC290.5.E5 -- R33 2013eb</t>
  </si>
  <si>
    <t>Sustainable development -- Germany. ; Environmental policy -- Germany. ; Industrial ecology -- Germany. ; Sustainable development -- Europe. ; Environmental policy -- Europe. ; Industrial ecology -- Europe.</t>
  </si>
  <si>
    <t>Integration von Nachhaltigkeitsinformationen in das Controlling : Am Beispiel der Lieferanten- und Innovationssteuerung</t>
  </si>
  <si>
    <t>Controlling und Performance Management</t>
  </si>
  <si>
    <t>Kubach, Michael</t>
  </si>
  <si>
    <t>Sustainable development-Technological innovations</t>
  </si>
  <si>
    <t>Sustainable Energy Management : Planning, Implementation, Control and Strategy</t>
  </si>
  <si>
    <t xml:space="preserve">Radovanovic (Golusin), Mirjana;Popov, Stevan;Dodic, Sinisa;Dodic, Sinisa </t>
  </si>
  <si>
    <t>TJ163.2 -- .G657 2013eb</t>
  </si>
  <si>
    <t>Energy development. ; Renewable energy sources. ; Sustainable engineering.</t>
  </si>
  <si>
    <t>Sustainable Development of Urban Infrastructure</t>
  </si>
  <si>
    <t>Zhang, Xiang Dong;Li, Hong-Nan;Feng, Xia-Ting;Chen, Zhi Hua</t>
  </si>
  <si>
    <t>Engineering; Engineering: Civil; Social Science</t>
  </si>
  <si>
    <t>TA630.I54175 2012eb</t>
  </si>
  <si>
    <t>307.1/416</t>
  </si>
  <si>
    <t>Poverty Reduction in a Changing Climate</t>
  </si>
  <si>
    <t>Bansha Dulal, Hari;Lustig, Nora;López-Calva, Luis F.;Mitra, Subrata;Schöttli, Jivanta;Pauli, Markus;Bird, Kate;Higgins, Kate;Joseph, George;Wodon, Quentin</t>
  </si>
  <si>
    <t>HC79.P6 -- D85 2013eb</t>
  </si>
  <si>
    <t>Sustainable development - Economic aspects - Developing countries</t>
  </si>
  <si>
    <t>Encyclopedia of Biodiversity</t>
  </si>
  <si>
    <t>Encyclopedia of Biodiversity Ser.</t>
  </si>
  <si>
    <t>Scheiner, Samuel M.;Scheiner, Samuel M.</t>
  </si>
  <si>
    <t>Science: Biology/Natural History; Environmental Studies; Science; Economics</t>
  </si>
  <si>
    <t>QH541.15.B56.E53 2013</t>
  </si>
  <si>
    <t>333.95/03</t>
  </si>
  <si>
    <t>Biodiversity</t>
  </si>
  <si>
    <t>Progress in Renewable and Sustainable Energy</t>
  </si>
  <si>
    <t>Li, Yong Guang;Li, Yong;Pan, Wei Guo</t>
  </si>
  <si>
    <t>HC79.E5.P76 2013eb</t>
  </si>
  <si>
    <t>Progress in Environmental Science and Engineering</t>
  </si>
  <si>
    <t>Xu, Qun Jie;Ju, Yan Zhong;Ge, Hong Hua</t>
  </si>
  <si>
    <t>Sustainable Development of Natural Resources</t>
  </si>
  <si>
    <t>Zhang, Ying Jie;Xu, Qun Jie;Sun, Mo Jie</t>
  </si>
  <si>
    <t>HC79.E5.S87 2012eb</t>
  </si>
  <si>
    <t>Advances on Material Science and Manufacturing Technologies</t>
  </si>
  <si>
    <t>Manufacturing Science and Technology III</t>
  </si>
  <si>
    <t>Sivakumar, Rajagopal</t>
  </si>
  <si>
    <t>TS183.I586 2013eb</t>
  </si>
  <si>
    <t>Creating a Sustainable Ecology Using Technology-Driven Solutions</t>
  </si>
  <si>
    <t>HM861 -- .C37 2013eb</t>
  </si>
  <si>
    <t>Social ecology. ; Sustainable development -- Technological innovations. ; Technological innovations -- Environmental aspects.</t>
  </si>
  <si>
    <t>Sustainable Business : Theory and Practice of Business Under Sustainability Principles</t>
  </si>
  <si>
    <t>Wells, Geoffrey</t>
  </si>
  <si>
    <t>HD60 -- .S87 2013eb</t>
  </si>
  <si>
    <t>Social responsibility of business. ; Sustainable development. ; Environmental responsibility.</t>
  </si>
  <si>
    <t>Healthcare Information Technology Innovation and Sustainability : Frontiers and Adoption</t>
  </si>
  <si>
    <t>Tan, Joseph</t>
  </si>
  <si>
    <t>R858 -- .H43 2013eb</t>
  </si>
  <si>
    <t>Medicine -- Information technology. ; Medical records -- Data processing.</t>
  </si>
  <si>
    <t>Genetic mapping of resistance to race Ug99 of Puccinia graminis f. sp. tritici, diversity analysis and identification of stem rust resistance genes in Ethiopian tetraploid wheats</t>
  </si>
  <si>
    <t>Haile, Jemanesh Kifetew</t>
  </si>
  <si>
    <t>SB191.W5</t>
  </si>
  <si>
    <t>Wheat</t>
  </si>
  <si>
    <t>Advanced Materials Forum VI</t>
  </si>
  <si>
    <t>Pinto, Ana Maria Pires;Pouzada, António Sergio</t>
  </si>
  <si>
    <t>TA401.3.I567 2011eb</t>
  </si>
  <si>
    <t>Tongues and Trees : Towards a Pentecostal Ecological Theology</t>
  </si>
  <si>
    <t>Journal of Pentecostal Theology Supplement Ser.</t>
  </si>
  <si>
    <t>Swoboda, Aaron Jason</t>
  </si>
  <si>
    <t>BT695.5 .S963 2013</t>
  </si>
  <si>
    <t>Human ecology-Religious aspects-Christianity. ; Pentecostal churches-Doctrines. ; Pentecostalism. ; Ecotheology.</t>
  </si>
  <si>
    <t>Innovation in Civil Engineering, Architecture and Sustainable Infrastructure</t>
  </si>
  <si>
    <t>Zhao, Shun Bo;Xie, Yi Min</t>
  </si>
  <si>
    <t>NA2542.36.I58 2012eb</t>
  </si>
  <si>
    <t>Engineering Materials 2 : An Introduction to Microstructures and Processing</t>
  </si>
  <si>
    <t>Jones, David R. H.;Ashby, Michael F.;Jones, D. R. H.;Ashby, Michael F.</t>
  </si>
  <si>
    <t>TA403 .A689 2012</t>
  </si>
  <si>
    <t>Building materials. ; Materials ; Materials. ; Sustainable engineering.</t>
  </si>
  <si>
    <t>Total Sustainability in the Built Environment</t>
  </si>
  <si>
    <t>Cotgrave, Alison;Riley, Mike</t>
  </si>
  <si>
    <t>TH1-9745</t>
  </si>
  <si>
    <t>Sustainable buildings -- Design and construction -- Textbooks. ; Sustainable architecture -- Textbooks.</t>
  </si>
  <si>
    <t>Tourismus</t>
  </si>
  <si>
    <t>Mundt, Jö W.;Mundt, Jö W.</t>
  </si>
  <si>
    <t>G155.7 .T384 2013</t>
  </si>
  <si>
    <t>Tourism -- Environmental aspects.</t>
  </si>
  <si>
    <t>Sustainability : Essentials for Business</t>
  </si>
  <si>
    <t>Young, Scott T.;Dhanda, Kanwalroop Kathy</t>
  </si>
  <si>
    <t>Climate Change and the Oceans : Gauging the Legal and Policy Currents in the Asia Pacific and Beyond</t>
  </si>
  <si>
    <t>Warner, Robin;Schofield, Clive</t>
  </si>
  <si>
    <t>Science; Science: Geology; Law</t>
  </si>
  <si>
    <t>K3485 -- .C56 2012eb</t>
  </si>
  <si>
    <t>Marine resources conservation -- Law and legislation -- Pacific Area. ; Marine resources conservation -- Law and legislation -- Asia. ; Environmental law -- Pacific Area. ; Environmental law -- Asia. ; Climatic changes -- Government policy -- Pacific Area. ; Climatic changes -- Government policy -- Asia.</t>
  </si>
  <si>
    <t>Green and Sustainable Computing: Part I</t>
  </si>
  <si>
    <t>Namasudra, Suyel;Hurson, Ali R.</t>
  </si>
  <si>
    <t>QA76 -- .A3 vol. 87 pt. 1eb</t>
  </si>
  <si>
    <t>Computer science -- Environmental aspects. ; Green technology.</t>
  </si>
  <si>
    <t>Impact of Bt Cotton on Pesticide Use, Farmers’ Health and the Environment</t>
  </si>
  <si>
    <t>Kouser, Shahzad</t>
  </si>
  <si>
    <t>QR82.B3.K687 2012</t>
  </si>
  <si>
    <t>Bacillus thuringiensis.</t>
  </si>
  <si>
    <t>Environment Science and Materials Engineering</t>
  </si>
  <si>
    <t>Du, Zhen Yu;Ren, Pei Yu</t>
  </si>
  <si>
    <t>GE5.E68 2012eb</t>
  </si>
  <si>
    <t>Green Power, Materials and Manufacturing Technology and Applications II</t>
  </si>
  <si>
    <t>Zhong, Shao Bo;Liu, Zhi Gang</t>
  </si>
  <si>
    <t>Application of Adsorbents for Water Pollution Control</t>
  </si>
  <si>
    <t>Bentham E-Books</t>
  </si>
  <si>
    <t>Bhatnagar, Amit</t>
  </si>
  <si>
    <t>TD423 -- .A66 2013eb</t>
  </si>
  <si>
    <t>Water -- Pollution. ; Hazardous wastes.</t>
  </si>
  <si>
    <t>Sustainable Vehicle Technologies : Driving the Green Agenda</t>
  </si>
  <si>
    <t>Imeche</t>
  </si>
  <si>
    <t>TL221.15</t>
  </si>
  <si>
    <t>Alternative fuel vehicles--Congresses.</t>
  </si>
  <si>
    <t>Sustainability Assessment : Context of Resource and Environmental Policy</t>
  </si>
  <si>
    <t>Ali, Mohammad</t>
  </si>
  <si>
    <t>HC79.E5 -- A45 2013eb</t>
  </si>
  <si>
    <t>Sustainable development -- Government policy. ; Sustainability.</t>
  </si>
  <si>
    <t>Sustainable Development at Universities: New Horizons : New Horizons</t>
  </si>
  <si>
    <t>LB2324 -- .S87 2012eb</t>
  </si>
  <si>
    <t>Environmental education. ; Sustainable development. ; Environmental responsibility -- Study and teaching.</t>
  </si>
  <si>
    <t>Distributed Renewable Energies for off-Grid Communities : Strategies and Technologies Toward Achieving Sustainability in Energy Generation and Supply</t>
  </si>
  <si>
    <t>El Bassam, N.;Schlichting, Marcia;Pagani, Daniele;El Bassam, Nasir;Schlichting, Marcia;Pagani, Daniele</t>
  </si>
  <si>
    <t>TK1006 -- .E43 2013eb</t>
  </si>
  <si>
    <t>Small power production facilities. ; Distributed generation of electric power. ; Renewable energy sources. ; Electric power distribution. ; Energy development.</t>
  </si>
  <si>
    <t>The Contribution of International Fisheries Law to Human Development : An Analysis of Multilateral and ACP-EU Fisheries Instruments</t>
  </si>
  <si>
    <t>van der Burgt, Nienke</t>
  </si>
  <si>
    <t>K3895 -- .B87 2013eb</t>
  </si>
  <si>
    <t>Fishery management, International - Law and legislation</t>
  </si>
  <si>
    <t>Cases on the Diffusion and Adoption of Sustainable Development Practices</t>
  </si>
  <si>
    <t xml:space="preserve">Thomas, Ken D.;Thomas, Ken D </t>
  </si>
  <si>
    <t>HC79.E5 -- C3744 2013eb</t>
  </si>
  <si>
    <t>Sustainable development -- Case studies. ; Economic development.</t>
  </si>
  <si>
    <t>Oekonomisch-oekologische Bewertung von regionalen Trinkwasserschutzoptionen</t>
  </si>
  <si>
    <t>Schriften des Instituts fuer Finanzen. Universitaet Leipzig</t>
  </si>
  <si>
    <t>Geyler, Stefan</t>
  </si>
  <si>
    <t>HC290.5.E5 -- G554 2008eb</t>
  </si>
  <si>
    <t>Environmental economics -- Germany. ; Water conservation -- Germany. ; Land use -- Germany -- Planning. ; Sustainable development -- Germany.</t>
  </si>
  <si>
    <t>Alberta Oil Sands : Energy, Industry and the Environment</t>
  </si>
  <si>
    <t>Percy, K.E.;Percy, K.E.</t>
  </si>
  <si>
    <t>HD9574.C23 -- A43 2012eb</t>
  </si>
  <si>
    <t>Oil sands - Environmental aspects</t>
  </si>
  <si>
    <t>Sustainable Cities Development and Environment</t>
  </si>
  <si>
    <t>Yang, Wei Jun</t>
  </si>
  <si>
    <t>NA2542.36.I584 2012</t>
  </si>
  <si>
    <t>Cities : An Environmental History</t>
  </si>
  <si>
    <t>Environmental History and Global Change Ser.</t>
  </si>
  <si>
    <t>Douglas, Ian</t>
  </si>
  <si>
    <t>HT166.D664 2013eb</t>
  </si>
  <si>
    <t>City planning -- Environmental aspects. ; Sustainable urban development. ; Cities and towns -- Growth -- Environmental aspects. ; Urban ecology (Sociology)</t>
  </si>
  <si>
    <t>Older Workers in a Sustainable Society</t>
  </si>
  <si>
    <t>Arbeit, Bildung and Gesellschaft / Labour, Education and Society</t>
  </si>
  <si>
    <t>Ennals, Richard;Salomon, Robert H.</t>
  </si>
  <si>
    <t>HD6279 -- .O425 2011eb</t>
  </si>
  <si>
    <t>331.3/98</t>
  </si>
  <si>
    <t>Older people -- Employment. ; Aging -- Economic aspects.</t>
  </si>
  <si>
    <t>Functional Materials for Sustainable Energy Applications</t>
  </si>
  <si>
    <t>Kilner, J. A.;Skinner, S. J.;Irvine, S. J. C.;Edwards, P. P.</t>
  </si>
  <si>
    <t>TJ808.F858 2012</t>
  </si>
  <si>
    <t>Energy storage</t>
  </si>
  <si>
    <t>Frontiers of Green Building, Materials and Civil Engineering II</t>
  </si>
  <si>
    <t>TH880.I595 2012eb</t>
  </si>
  <si>
    <t>Radionuclide Behaviour in the Natural Environment : Science, Implications and Lessons for the Nuclear Industry</t>
  </si>
  <si>
    <t>Poinssot, Christophe;Geckeis, Horst</t>
  </si>
  <si>
    <t>TD428.A86 .P384 2012</t>
  </si>
  <si>
    <t>Radioactive pollution. ; Radioactive substances in rivers, lakes, etc. -- Environmental aspects.</t>
  </si>
  <si>
    <t>Automatic Manufacturing Systems II</t>
  </si>
  <si>
    <t>Tan, Run Hua;Sun, Ji Bing;Liu, Qing Suo</t>
  </si>
  <si>
    <t>TA401.3.I54775 2012</t>
  </si>
  <si>
    <t>Environmental Leadership : A Reference Handbook</t>
  </si>
  <si>
    <t>Gallagher, Deborah R.</t>
  </si>
  <si>
    <t>GE300 -- .E5655 2012eb</t>
  </si>
  <si>
    <t>Conservation leadership</t>
  </si>
  <si>
    <t>Advanced Building Materials and Sustainable Architecture</t>
  </si>
  <si>
    <t>Shao, Yong Bo;Hao, Shu Guang;Luo, Yu Ping;Xing, Ji Bo;Liu, Zhi Yong</t>
  </si>
  <si>
    <t>TH880.I58 2012eb</t>
  </si>
  <si>
    <t>Sustainable Environment and Transportation</t>
  </si>
  <si>
    <t>Chu, Ming Jin;Xu, Hui Zhong;Jia, Zhi Lin;Fan, Yun;Xu, Jiang Ping</t>
  </si>
  <si>
    <t>TA145.I58 2012eb</t>
  </si>
  <si>
    <t>Natural Resources and Sustainable Development II</t>
  </si>
  <si>
    <t>Wu, Jian Guo;Yang, Jie;Nakagoshi, Nobukazu;Li, Xi Xi;Xu, He</t>
  </si>
  <si>
    <t>HC79.E5.I5329 2012eb</t>
  </si>
  <si>
    <t>Green Technologies and Business Practices : An IT Approach</t>
  </si>
  <si>
    <t xml:space="preserve">Ordóñez de Pablos, Patricia;Ordonez de Pablos, Patricia </t>
  </si>
  <si>
    <t>HC79.E5 -- G69167 2013eb</t>
  </si>
  <si>
    <t>Sustainable development -- Environmental aspects. ; Information technology -- Environmental aspects. ; Industries -- Environmental aspects.</t>
  </si>
  <si>
    <t>Integrated Operations in the Oil and Gas Industry : Sustainability and Capability Development</t>
  </si>
  <si>
    <t xml:space="preserve">Rosendahl, Tom;Hepsø, Vidar;Hepso, Vidar </t>
  </si>
  <si>
    <t>HD9560.5 -- .I5525 2012eb</t>
  </si>
  <si>
    <t>665.5068/4</t>
  </si>
  <si>
    <t>Petroleum industry and trade -- Management. ; Petroleum industry and trade -- Information technology. ; Gas industry -- Management. ; Gas industry -- Information technology.</t>
  </si>
  <si>
    <t>Genetic analysis of aspen (Populus tremula L. and Populus tremuloides Michx.) in a diversity experiment</t>
  </si>
  <si>
    <t>Zhang, Chunxia</t>
  </si>
  <si>
    <t>SD143.Z436 2012</t>
  </si>
  <si>
    <t>Forests and forestry--United States.</t>
  </si>
  <si>
    <t>Sustainable Land Use and the Food Chain : From the Producer to the Consumer. Proceedings of the International Seminar held in Göttingen, Germany 1 – 3 December 2011</t>
  </si>
  <si>
    <t>Sustainability-Congresses</t>
  </si>
  <si>
    <t>Markets, Sustainability and Social Welfare Enhancement in the European Union : 12 th and 13 th Annual Conference of the Faculty of Economics and Business Administration- Sofia, October 9 to 10, 2009 and October 8 to 9, 2010</t>
  </si>
  <si>
    <t>Chobanov, George;Plöhn, Jürgen;Schellhaass, Horst;Plohn, Jurgen</t>
  </si>
  <si>
    <t>HC240 -- .S64 2012eb</t>
  </si>
  <si>
    <t>Social planning -- European Union countries -- Congresses. ; European Union countries -- Economic policy -- Congresses.</t>
  </si>
  <si>
    <t>The Economic and Environmental Sustainability of Dual Sourcing</t>
  </si>
  <si>
    <t>Forschungsergebnisse der Wirtschaftsuniversitaet Wien</t>
  </si>
  <si>
    <t>Rosic, Heidrun</t>
  </si>
  <si>
    <t>HD38.5 -- .R67 2012eb</t>
  </si>
  <si>
    <t>Business logistics -- Environmental aspects. ; Business -- Environmental aspects.</t>
  </si>
  <si>
    <t>Geographic Information Analysis for Sustainable Development and Economic Planning : New Technologies</t>
  </si>
  <si>
    <t xml:space="preserve">Borruso, Giuseppe;Bertazzon, Stefania;Favretto, Andrea;Murgante, Beniamino ;Torre, Carmelo Maria </t>
  </si>
  <si>
    <t>G70.212 -- .G4254 2013eb</t>
  </si>
  <si>
    <t>Geographic information systems. ; Hydrology -- Geographic information systems. ; Cities and towns -- Geographic information systems. ; Civil engineering -- Geographic information systems.</t>
  </si>
  <si>
    <t>Contributions to the UN Decade of Education for Sustainable Development</t>
  </si>
  <si>
    <t>Umweltbildung, Umweltkommunikation und Nachhaltigkeit</t>
  </si>
  <si>
    <t>Goncalves, Fernando J.;Pereira, Ruth;Leal Filho, Walter</t>
  </si>
  <si>
    <t>GE70 -- .C66 2012eb</t>
  </si>
  <si>
    <t>United Nations. ; Environmental education -- International cooperation. ; Sustainable development.</t>
  </si>
  <si>
    <t>An agent-based simulation model of human-environment interactions as applied to soil fertility management practices in northwestern Vietnam</t>
  </si>
  <si>
    <t>Quang, Dang Viet</t>
  </si>
  <si>
    <t>S596.7</t>
  </si>
  <si>
    <t>Vietnam, Northwestern</t>
  </si>
  <si>
    <t>Novel and Non-Conventional Materials and Technologies for Sustainability</t>
  </si>
  <si>
    <t>Xiao, Yan;Li, Zhi;Wang, Rui;Shan, Bo;Ghavami, Khosrow</t>
  </si>
  <si>
    <t>Rural Environmental Planning for Sustainable Communities</t>
  </si>
  <si>
    <t>Sargent, Frederic O.;Lusk, Paul;Rivera, Jose;Varela, Maria</t>
  </si>
  <si>
    <t>HT392 .R873 1991</t>
  </si>
  <si>
    <t>363.7/058/0973</t>
  </si>
  <si>
    <t>Environmental policy--United States--Citizen participation.</t>
  </si>
  <si>
    <t>Biodiversity Management and Tourism Development</t>
  </si>
  <si>
    <t>Barua, Kamini;Slowik , Jolanta;Pangau-Adam, Margaretha</t>
  </si>
  <si>
    <t>G155.A1.B563 2012</t>
  </si>
  <si>
    <t>Environment and Citizenship in Latin America : Natures, Subjects and Struggles</t>
  </si>
  <si>
    <t>CEDLA Latin America Studies</t>
  </si>
  <si>
    <t>Latta, Alex;Wittman, Hannah</t>
  </si>
  <si>
    <t>JA75.8.E57 2012</t>
  </si>
  <si>
    <t>Sustainable ICTs and Management Systems for Green Computing</t>
  </si>
  <si>
    <t>Hu, Wen Chen;Kaabouch, Naima</t>
  </si>
  <si>
    <t>TK5102.5 -- .S925 2012eb</t>
  </si>
  <si>
    <t>621.381028/6</t>
  </si>
  <si>
    <t>Telecommunication -- Energy conservation. ; Computer networks -- Energy conservation. ; Electronic data processing -- Energy conservation. ; Green technology. ; Electronic apparatus and appliances -- Environmental aspects. ; Electronic data processing departments -- Energy consumption.</t>
  </si>
  <si>
    <t>Energy-Aware Systems and Networking for Sustainable Initiatives</t>
  </si>
  <si>
    <t>TK7895.P68 -- E54 2012eb</t>
  </si>
  <si>
    <t>621.39028/6</t>
  </si>
  <si>
    <t>Computers -- Power supply. ; Electric power -- Conservation. ; Green technology.</t>
  </si>
  <si>
    <t>Nature-based Tourism and Conservation : New Economic Insights and Case Studies</t>
  </si>
  <si>
    <t>Tisdell, Clem;Wilson, Clevo</t>
  </si>
  <si>
    <t>G156.5.E26 -- T57 2012eb</t>
  </si>
  <si>
    <t>Ecotourism. ; Nature conservation.</t>
  </si>
  <si>
    <t>Learning for sustainability in times of accelerating change</t>
  </si>
  <si>
    <t>Wals, Arjen E.J.;Corcoran, Peter Blaze</t>
  </si>
  <si>
    <t>GE70 -- .L43 2012eb</t>
  </si>
  <si>
    <t>Environmental education. ; Sustainable development. ; Environmental sciences -- Study and teaching.</t>
  </si>
  <si>
    <t>L’innovation verte : De la théorie aux bonnes pratiques</t>
  </si>
  <si>
    <t>Business and Innovation</t>
  </si>
  <si>
    <t>Boutillier, Sophie;Gallouj, Faïz;Laperche, Blandine;Uzunidis, Dimitri;Djellal, Faridah</t>
  </si>
  <si>
    <t>TH880.I56 2012</t>
  </si>
  <si>
    <t>Sustainable buildings.</t>
  </si>
  <si>
    <t>Global Sustainable Development and Renewable Energy Systems</t>
  </si>
  <si>
    <t>TJ808 -- .G57 2012eb</t>
  </si>
  <si>
    <t>Renewable energy sources. ; Sustainable development. ; Energy consumption.</t>
  </si>
  <si>
    <t>Sustainable Policy Applications for Social Ecology and Development</t>
  </si>
  <si>
    <t>HC79.E5 -- S86494 2012eb</t>
  </si>
  <si>
    <t>Sustainable development. ; Social ecology. ; Economic development.</t>
  </si>
  <si>
    <t>User Experience in the Age of Sustainability : A Practitioner's Blueprint</t>
  </si>
  <si>
    <t>Kramer, Kem-Laurin</t>
  </si>
  <si>
    <t>Business/Management; Engineering; Engineering: Environmental</t>
  </si>
  <si>
    <t>TS171.4 .U73 2012</t>
  </si>
  <si>
    <t>Product design -- Environmental aspects. ; Sustainable design. ; User interfaces (Computer systems) ; New products -- Environmental aspects.</t>
  </si>
  <si>
    <t>Labour and Sustainable Development : North-South Perspectives</t>
  </si>
  <si>
    <t>Arbeit, Bildung and Gesellschaft</t>
  </si>
  <si>
    <t>Garibaldo, Francesco;Yi, Dinghong</t>
  </si>
  <si>
    <t>HC79.E5 -- L33 2012eb</t>
  </si>
  <si>
    <t>Sustainable development. ; Law and economic development. ; Labor laws and legislation, International.</t>
  </si>
  <si>
    <t>Renewable and Sustainable Energy II</t>
  </si>
  <si>
    <t>Ren, Nan Qi;Che, Lam Kin;Jin, Bo;Dong, Ren Jie;Su, Hai Quan</t>
  </si>
  <si>
    <t>TJ807.2.R46 2012eb</t>
  </si>
  <si>
    <t>Manufacturing Engineering and Process</t>
  </si>
  <si>
    <t>Zhou, Xiaoxiao</t>
  </si>
  <si>
    <t>TS176.I58 2012eb</t>
  </si>
  <si>
    <t>Comprehensive Renewable Energy</t>
  </si>
  <si>
    <t>Letcher, Trevor</t>
  </si>
  <si>
    <t>TJ163.2 -- .O24 2012eb</t>
  </si>
  <si>
    <t>Renewable energy sources</t>
  </si>
  <si>
    <t>Engineering for Sustainability : A Practical Guide for Sustainable Design</t>
  </si>
  <si>
    <t>Jonker, Gerald;Harmsen, Jan</t>
  </si>
  <si>
    <t>Sustainable design. ; Sustainable engineering.</t>
  </si>
  <si>
    <t>Public–Private Partnerships for Sustainable Development : Emergence, Influence and Legitimacy</t>
  </si>
  <si>
    <t>Pattberg, Philipp H.;Biermann, Frank;Chan, Sander</t>
  </si>
  <si>
    <t>HD3871 -- .P83 2012eb</t>
  </si>
  <si>
    <t>Public-private sector cooperation. ; Sustainable development.</t>
  </si>
  <si>
    <t>Towards Sustainable Urban Transportation : Environmental Dimension</t>
  </si>
  <si>
    <t>Kliucininkas, Linas</t>
  </si>
  <si>
    <t>HE305 -- .K56 2012eb</t>
  </si>
  <si>
    <t>Urban transportation -- Environmental aspects. ; Sustainable development.</t>
  </si>
  <si>
    <t>Educational and Technological Approaches to Renewable Energy</t>
  </si>
  <si>
    <t>Leal Filho, Walter;Gottwald, Julia</t>
  </si>
  <si>
    <t>TJ808 -- .E38 2012eb</t>
  </si>
  <si>
    <t>Renewable energy sources. ; Sustainable development. ; Energy development -- Environmental aspects.</t>
  </si>
  <si>
    <t>Key Engineering Materials II</t>
  </si>
  <si>
    <t>Fan, Wu</t>
  </si>
  <si>
    <t>TA401.3.I58 2012eb</t>
  </si>
  <si>
    <t>Diversity of Venezuelan Stylosanthes (Leguminosae)</t>
  </si>
  <si>
    <t>Calles, Teodardo</t>
  </si>
  <si>
    <t>S475.V4.C355 2012</t>
  </si>
  <si>
    <t>Agriculture--Venezuela.</t>
  </si>
  <si>
    <t>Comparison of Discourses in Global &amp; Indonesian Media and Stakeholders‘ Perspectives on Forest Fire</t>
  </si>
  <si>
    <t>Ekayani, Meti</t>
  </si>
  <si>
    <t>SD421.E339 2012</t>
  </si>
  <si>
    <t>Forest fires.</t>
  </si>
  <si>
    <t>Advanced Manufacturing Technology, ICMSE 2012</t>
  </si>
  <si>
    <t>Chen, Wen Zhe;Xu, Xi Peng;Dai, Pin Qiang;Chen, Yong Lu;Jiang, Zheng Yi</t>
  </si>
  <si>
    <t>TA401.3.A3eb</t>
  </si>
  <si>
    <t>Advanced Mechanical Design</t>
  </si>
  <si>
    <t>Chen, Wen Zhe;Dai, Pin Qiang;Chen, Yong Lu;Wang, Qian Ting;Jiang, Zheng Yi</t>
  </si>
  <si>
    <t>Advanced Materials Research II</t>
  </si>
  <si>
    <t>TA404.2.I584 2012eb</t>
  </si>
  <si>
    <t>Material Science and Engineering Technology</t>
  </si>
  <si>
    <t>Zhu, Zeng</t>
  </si>
  <si>
    <t>TA401.3.M227 2012eb</t>
  </si>
  <si>
    <t>Mechanical Engineering and Green Manufacturing II</t>
  </si>
  <si>
    <t>Zhong, Shao Bo;Qu, Xi Long</t>
  </si>
  <si>
    <t>TA170.I568 2012eb</t>
  </si>
  <si>
    <t>Materials Science and Information Technology</t>
  </si>
  <si>
    <t>Zhang, Cai Suo</t>
  </si>
  <si>
    <t>TA401.3.I584 2012eb</t>
  </si>
  <si>
    <t>Neue Energie im Osten – Gestaltung des Umbruchs : Perspektiven fuer eine zukunftsfaehige sozial-oekologische Energiewende</t>
  </si>
  <si>
    <t>Keppler, Dorothee;Schröder, Carolin;Nölting, Benjamin;Nolting, Benjamin;Schroder, Carolin</t>
  </si>
  <si>
    <t>Environmental Studies; Engineering: Mechanical; Engineering; Economics</t>
  </si>
  <si>
    <t>TJ807.9.G3 -- N48 2011eb</t>
  </si>
  <si>
    <t>Renewable energy sources -- Germany. ; Power resources -- Germany. ; Sustainable development -- Germany.</t>
  </si>
  <si>
    <t>Grazing behavior and forage selectivity of cattle and sheep grazing alone or together on swards differing in plant species diversity</t>
  </si>
  <si>
    <t>Cuchillo Hilario, Mario</t>
  </si>
  <si>
    <t>Handbook Of Environment And Waste Management: Air And Water Pollution Control : Air and Water Pollution Control</t>
  </si>
  <si>
    <t>Handbook Of Environment And Waste Management</t>
  </si>
  <si>
    <t>Hung, Yung-tse;Wang, Lawrence K;Shammas, Nazih K</t>
  </si>
  <si>
    <t>HD4482 -- .H36 2012eb</t>
  </si>
  <si>
    <t>Refuse and refuse disposal -- Environmental aspects -- Handbooks, manuals, etc.</t>
  </si>
  <si>
    <t>A Review of the U. S. Global Change Research Program's Draft Strategic Plan</t>
  </si>
  <si>
    <t>National Research Council;Division of Behavioral and Social Sciences and Education;Board on Environmental Change and Society;Division on Earth and Life Studies;Board on Atmospheric Sciences and Climate;Committee to Advise the U.S. Global Change Research Program</t>
  </si>
  <si>
    <t>MEMS, NANO and Smart Systems</t>
  </si>
  <si>
    <t>Yuan, Li</t>
  </si>
  <si>
    <t>TK7875.I54 2012eb</t>
  </si>
  <si>
    <t>Manufacturing Science and Technology, ICMST2011</t>
  </si>
  <si>
    <t>Advances in Civil Engineering and Architecture Innovation</t>
  </si>
  <si>
    <t>Yang, Qing;Zhu, Li-Hua;He, Jing Jing;Yan, Zeng Feng;Ren, Rui</t>
  </si>
  <si>
    <t>Sustainable Development of Urban Environment and Building Material</t>
  </si>
  <si>
    <t>Li, Hui;Liu, Yan Feng;Guo, Ming;Zhang, Rui;Du, Jing</t>
  </si>
  <si>
    <t>Mechanical and Aerospace Engineering, ICMAE2011</t>
  </si>
  <si>
    <t>Natural Resources and Sustainable Development</t>
  </si>
  <si>
    <t>Xu, Qun Jie;Ge, Hong Hua;Zhang, Jun Xi</t>
  </si>
  <si>
    <t>Modelling Enterprise Behaviour in a Food Regulation Environment : A Decision Support System for Policy Makers</t>
  </si>
  <si>
    <t>Krapp, Henrik</t>
  </si>
  <si>
    <t>TX359.K737 2012</t>
  </si>
  <si>
    <t>Nutrition policy.</t>
  </si>
  <si>
    <t>Sustainable Construction Materials and Computer Engineering</t>
  </si>
  <si>
    <t>Hu, Wen Song</t>
  </si>
  <si>
    <t>Renewable and Sustainable Energy</t>
  </si>
  <si>
    <t>Pan, Wei Guo;Ren, Jian Xing;Li, Yong Guang</t>
  </si>
  <si>
    <t>Sustainable Livestock Management for Poverty Alleviation and Food Security</t>
  </si>
  <si>
    <t>CABI Publishing</t>
  </si>
  <si>
    <t>Hooft, Katrien van't;Wollen, Terry S.;Bhandari, D. P.</t>
  </si>
  <si>
    <t>SF55.D44 -- H66 2012eb</t>
  </si>
  <si>
    <t>338.1/62</t>
  </si>
  <si>
    <t>Solid state physics. ; Electric conductivity.</t>
  </si>
  <si>
    <t>Computer-Aided Design, Manufacturing, Modeling and Simulation</t>
  </si>
  <si>
    <t>He, Xin Gui;Hua, Ertian;Lin, Yun;Liu, Xiao Zhu</t>
  </si>
  <si>
    <t>TA174.I569 2011eb</t>
  </si>
  <si>
    <t>Green Power, Materials and Manufacturing Technology and Applications</t>
  </si>
  <si>
    <t>Yang, Ai Min;Qu, Jing Guo;Qu, Xi Long</t>
  </si>
  <si>
    <t>TA170.I567 2011eb</t>
  </si>
  <si>
    <t>Hunters in the Barrens : The Naskapi on the Edge of the White Man's World</t>
  </si>
  <si>
    <t>Henriksen, Georg</t>
  </si>
  <si>
    <t>E99.N18 H46 2010</t>
  </si>
  <si>
    <t>Tree of Rivers</t>
  </si>
  <si>
    <t>John, Hemming</t>
  </si>
  <si>
    <t>F2546 .J646 2012</t>
  </si>
  <si>
    <t>Amazon River Region-History.</t>
  </si>
  <si>
    <t>Landscape, Process and Power : Re-Evaluating Traditional Environmental Knowledge</t>
  </si>
  <si>
    <t>Heckler, Serena</t>
  </si>
  <si>
    <t>GF50 .L35 2009</t>
  </si>
  <si>
    <t>The Impact of Electricity : Development, Desires and Dilemmas</t>
  </si>
  <si>
    <t>Winther, Tanja</t>
  </si>
  <si>
    <t>HD9688.T34 W56 2008</t>
  </si>
  <si>
    <t>333.793/209678</t>
  </si>
  <si>
    <t>Sustainability and Communities of Place</t>
  </si>
  <si>
    <t>HC79.E5 S86455 2007</t>
  </si>
  <si>
    <t>Names and Nunavut : Culture and Identity in the Inuit Homeland</t>
  </si>
  <si>
    <t>Alia, Valerie</t>
  </si>
  <si>
    <t>PM50.Z9 N863 2007</t>
  </si>
  <si>
    <t>305.897/1207195</t>
  </si>
  <si>
    <t>The Environment and Sustainable Development in the New Central Europe</t>
  </si>
  <si>
    <t>Austrian and Habsburg Studies</t>
  </si>
  <si>
    <t>Bochniarz, Zbigniew;Cohen, Gary B.</t>
  </si>
  <si>
    <t>HC244.Z9 E519 2006</t>
  </si>
  <si>
    <t>Cultivating Arctic Landscapes : Knowing and Managing Animals in the Circumpolar North</t>
  </si>
  <si>
    <t>Anderson, David G.;Nuttall, Mark</t>
  </si>
  <si>
    <t>Agriculture; History</t>
  </si>
  <si>
    <t>E99.E7 C85 2004</t>
  </si>
  <si>
    <t>636/.00911/3</t>
  </si>
  <si>
    <t>Conservation and Mobile Indigenous Peoples : Displacement, Forced Settlement and Sustainable Development</t>
  </si>
  <si>
    <t>Forced Migration Ser.</t>
  </si>
  <si>
    <t>Chatty, Dawn;Colchester, Marcus</t>
  </si>
  <si>
    <t>GF75 .C67 2002</t>
  </si>
  <si>
    <t>333.7/2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</si>
</sst>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2"/>
  <sheetViews>
    <sheetView tabSelected="1" topLeftCell="B1" workbookViewId="0">
      <selection activeCell="P2" sqref="P2"/>
    </sheetView>
  </sheetViews>
  <sheetFormatPr defaultRowHeight="14.5" x14ac:dyDescent="0.35"/>
  <cols>
    <col min="1" max="1" width="0" hidden="1" customWidth="1"/>
    <col min="2" max="2" width="45.1796875" customWidth="1"/>
    <col min="7" max="7" width="16.90625" bestFit="1" customWidth="1"/>
    <col min="8" max="8" width="13.1796875" hidden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16</v>
      </c>
    </row>
    <row r="2" spans="1:16" x14ac:dyDescent="0.35">
      <c r="A2">
        <v>169519</v>
      </c>
      <c r="B2" t="s">
        <v>559</v>
      </c>
      <c r="C2" t="str">
        <f>"9780415056526"</f>
        <v>9780415056526</v>
      </c>
      <c r="D2" t="str">
        <f>"9780203200018"</f>
        <v>9780203200018</v>
      </c>
      <c r="E2" t="s">
        <v>19</v>
      </c>
      <c r="F2" t="s">
        <v>20</v>
      </c>
      <c r="G2" s="1">
        <v>33434</v>
      </c>
      <c r="H2" s="1">
        <v>38169</v>
      </c>
      <c r="I2">
        <v>1</v>
      </c>
      <c r="J2" t="s">
        <v>560</v>
      </c>
      <c r="K2" t="s">
        <v>561</v>
      </c>
      <c r="L2" t="s">
        <v>562</v>
      </c>
      <c r="M2" t="s">
        <v>563</v>
      </c>
      <c r="N2">
        <v>401.41</v>
      </c>
      <c r="O2" t="s">
        <v>564</v>
      </c>
      <c r="P2" s="3" t="s">
        <v>565</v>
      </c>
    </row>
    <row r="3" spans="1:16" x14ac:dyDescent="0.35">
      <c r="A3">
        <v>178415</v>
      </c>
      <c r="B3" t="s">
        <v>566</v>
      </c>
      <c r="C3" t="str">
        <f>"9780415336475"</f>
        <v>9780415336475</v>
      </c>
      <c r="D3" t="str">
        <f>"9780203009086"</f>
        <v>9780203009086</v>
      </c>
      <c r="E3" t="s">
        <v>19</v>
      </c>
      <c r="F3" t="s">
        <v>20</v>
      </c>
      <c r="G3" s="1">
        <v>38496</v>
      </c>
      <c r="H3" s="1">
        <v>38697</v>
      </c>
      <c r="I3">
        <v>1</v>
      </c>
      <c r="K3" t="s">
        <v>567</v>
      </c>
      <c r="L3" t="s">
        <v>40</v>
      </c>
      <c r="M3" t="s">
        <v>568</v>
      </c>
      <c r="N3">
        <v>16.32741051</v>
      </c>
      <c r="O3" t="s">
        <v>569</v>
      </c>
      <c r="P3" t="s">
        <v>570</v>
      </c>
    </row>
    <row r="4" spans="1:16" x14ac:dyDescent="0.35">
      <c r="A4">
        <v>179753</v>
      </c>
      <c r="B4" t="s">
        <v>571</v>
      </c>
      <c r="C4" t="str">
        <f>"9780415007610"</f>
        <v>9780415007610</v>
      </c>
      <c r="D4" t="str">
        <f>"9780203191958"</f>
        <v>9780203191958</v>
      </c>
      <c r="E4" t="s">
        <v>19</v>
      </c>
      <c r="F4" t="s">
        <v>20</v>
      </c>
      <c r="G4" s="1">
        <v>33051</v>
      </c>
      <c r="H4" s="1">
        <v>40999</v>
      </c>
      <c r="I4">
        <v>1</v>
      </c>
      <c r="K4" t="s">
        <v>572</v>
      </c>
      <c r="L4" t="s">
        <v>35</v>
      </c>
      <c r="M4" t="s">
        <v>573</v>
      </c>
      <c r="N4" t="s">
        <v>512</v>
      </c>
      <c r="O4" t="s">
        <v>574</v>
      </c>
      <c r="P4" t="s">
        <v>575</v>
      </c>
    </row>
    <row r="5" spans="1:16" x14ac:dyDescent="0.35">
      <c r="A5">
        <v>179918</v>
      </c>
      <c r="B5" t="s">
        <v>576</v>
      </c>
      <c r="C5" t="str">
        <f>"9780415215732"</f>
        <v>9780415215732</v>
      </c>
      <c r="D5" t="str">
        <f>"9780203135976"</f>
        <v>9780203135976</v>
      </c>
      <c r="E5" t="s">
        <v>19</v>
      </c>
      <c r="F5" t="s">
        <v>20</v>
      </c>
      <c r="G5" s="1">
        <v>36732</v>
      </c>
      <c r="H5" s="1">
        <v>38491</v>
      </c>
      <c r="I5">
        <v>1</v>
      </c>
      <c r="K5" t="s">
        <v>577</v>
      </c>
      <c r="L5" t="s">
        <v>67</v>
      </c>
      <c r="M5" t="s">
        <v>578</v>
      </c>
      <c r="N5" t="s">
        <v>579</v>
      </c>
      <c r="O5" t="s">
        <v>50</v>
      </c>
      <c r="P5" t="s">
        <v>580</v>
      </c>
    </row>
    <row r="6" spans="1:16" x14ac:dyDescent="0.35">
      <c r="A6">
        <v>180021</v>
      </c>
      <c r="B6" t="s">
        <v>581</v>
      </c>
      <c r="C6" t="str">
        <f>"9780415095693"</f>
        <v>9780415095693</v>
      </c>
      <c r="D6" t="str">
        <f>"9780203202593"</f>
        <v>9780203202593</v>
      </c>
      <c r="E6" t="s">
        <v>19</v>
      </c>
      <c r="F6" t="s">
        <v>20</v>
      </c>
      <c r="G6" s="1">
        <v>34288</v>
      </c>
      <c r="H6" s="1">
        <v>38169</v>
      </c>
      <c r="I6">
        <v>1</v>
      </c>
      <c r="K6" t="s">
        <v>582</v>
      </c>
      <c r="L6" t="s">
        <v>24</v>
      </c>
      <c r="M6">
        <v>92040810</v>
      </c>
      <c r="N6">
        <v>823.80899999999997</v>
      </c>
      <c r="O6" t="s">
        <v>34</v>
      </c>
      <c r="P6" t="s">
        <v>583</v>
      </c>
    </row>
    <row r="7" spans="1:16" x14ac:dyDescent="0.35">
      <c r="A7">
        <v>180241</v>
      </c>
      <c r="B7" t="s">
        <v>584</v>
      </c>
      <c r="C7" t="str">
        <f>"9780815335009"</f>
        <v>9780815335009</v>
      </c>
      <c r="D7" t="str">
        <f>"9780203900659"</f>
        <v>9780203900659</v>
      </c>
      <c r="E7" t="s">
        <v>19</v>
      </c>
      <c r="F7" t="s">
        <v>20</v>
      </c>
      <c r="G7" s="1">
        <v>36896</v>
      </c>
      <c r="H7" s="1">
        <v>38169</v>
      </c>
      <c r="I7">
        <v>1</v>
      </c>
      <c r="J7" t="s">
        <v>585</v>
      </c>
      <c r="K7" t="s">
        <v>586</v>
      </c>
      <c r="L7" t="s">
        <v>199</v>
      </c>
      <c r="M7" t="s">
        <v>587</v>
      </c>
      <c r="N7">
        <v>333.73599999999999</v>
      </c>
      <c r="O7" t="s">
        <v>588</v>
      </c>
      <c r="P7" t="s">
        <v>589</v>
      </c>
    </row>
    <row r="8" spans="1:16" x14ac:dyDescent="0.35">
      <c r="A8">
        <v>180581</v>
      </c>
      <c r="B8" t="s">
        <v>590</v>
      </c>
      <c r="C8" t="str">
        <f>"9780415253338"</f>
        <v>9780415253338</v>
      </c>
      <c r="D8" t="str">
        <f>"9780203164853"</f>
        <v>9780203164853</v>
      </c>
      <c r="E8" t="s">
        <v>19</v>
      </c>
      <c r="F8" t="s">
        <v>20</v>
      </c>
      <c r="G8" s="1">
        <v>37309</v>
      </c>
      <c r="H8" s="1">
        <v>38316</v>
      </c>
      <c r="I8">
        <v>1</v>
      </c>
      <c r="J8" t="s">
        <v>591</v>
      </c>
      <c r="K8" t="s">
        <v>592</v>
      </c>
      <c r="L8" t="s">
        <v>593</v>
      </c>
      <c r="M8" t="s">
        <v>594</v>
      </c>
      <c r="N8" t="s">
        <v>595</v>
      </c>
      <c r="O8" t="s">
        <v>596</v>
      </c>
      <c r="P8" t="s">
        <v>597</v>
      </c>
    </row>
    <row r="9" spans="1:16" x14ac:dyDescent="0.35">
      <c r="A9">
        <v>180819</v>
      </c>
      <c r="B9" t="s">
        <v>598</v>
      </c>
      <c r="C9" t="str">
        <f>"9780415281898"</f>
        <v>9780415281898</v>
      </c>
      <c r="D9" t="str">
        <f>"9780203216934"</f>
        <v>9780203216934</v>
      </c>
      <c r="E9" t="s">
        <v>19</v>
      </c>
      <c r="F9" t="s">
        <v>20</v>
      </c>
      <c r="G9" s="1">
        <v>37407</v>
      </c>
      <c r="H9" s="1">
        <v>38169</v>
      </c>
      <c r="I9">
        <v>1</v>
      </c>
      <c r="J9" t="s">
        <v>599</v>
      </c>
      <c r="K9" t="s">
        <v>600</v>
      </c>
      <c r="L9" t="s">
        <v>35</v>
      </c>
      <c r="M9" t="s">
        <v>601</v>
      </c>
      <c r="N9">
        <v>418.02</v>
      </c>
      <c r="O9" t="s">
        <v>198</v>
      </c>
      <c r="P9" t="s">
        <v>602</v>
      </c>
    </row>
    <row r="10" spans="1:16" x14ac:dyDescent="0.35">
      <c r="A10">
        <v>182217</v>
      </c>
      <c r="B10" t="s">
        <v>603</v>
      </c>
      <c r="C10" t="str">
        <f>"9780415251259"</f>
        <v>9780415251259</v>
      </c>
      <c r="D10" t="str">
        <f>"9780203493199"</f>
        <v>9780203493199</v>
      </c>
      <c r="E10" t="s">
        <v>19</v>
      </c>
      <c r="F10" t="s">
        <v>20</v>
      </c>
      <c r="G10" s="1">
        <v>39849</v>
      </c>
      <c r="H10" s="1">
        <v>39822</v>
      </c>
      <c r="I10">
        <v>1</v>
      </c>
      <c r="J10" t="s">
        <v>604</v>
      </c>
      <c r="K10" t="s">
        <v>605</v>
      </c>
      <c r="L10" t="s">
        <v>28</v>
      </c>
      <c r="M10" t="s">
        <v>606</v>
      </c>
      <c r="N10">
        <v>659.1</v>
      </c>
      <c r="O10" t="s">
        <v>607</v>
      </c>
      <c r="P10" t="s">
        <v>608</v>
      </c>
    </row>
    <row r="11" spans="1:16" x14ac:dyDescent="0.35">
      <c r="A11">
        <v>182436</v>
      </c>
      <c r="B11" t="s">
        <v>609</v>
      </c>
      <c r="C11" t="str">
        <f>"9780415296496"</f>
        <v>9780415296496</v>
      </c>
      <c r="D11" t="str">
        <f>"9780203492994"</f>
        <v>9780203492994</v>
      </c>
      <c r="E11" t="s">
        <v>57</v>
      </c>
      <c r="F11" t="s">
        <v>57</v>
      </c>
      <c r="G11" s="1">
        <v>38085</v>
      </c>
      <c r="H11" s="1">
        <v>38453</v>
      </c>
      <c r="I11">
        <v>1</v>
      </c>
      <c r="K11" t="s">
        <v>610</v>
      </c>
      <c r="L11" t="s">
        <v>85</v>
      </c>
      <c r="M11" t="s">
        <v>611</v>
      </c>
      <c r="N11">
        <v>620.20000000000005</v>
      </c>
      <c r="O11" t="s">
        <v>612</v>
      </c>
      <c r="P11" t="s">
        <v>613</v>
      </c>
    </row>
    <row r="12" spans="1:16" x14ac:dyDescent="0.35">
      <c r="A12">
        <v>182812</v>
      </c>
      <c r="B12" t="s">
        <v>614</v>
      </c>
      <c r="C12" t="str">
        <f>"9780415942997"</f>
        <v>9780415942997</v>
      </c>
      <c r="D12" t="str">
        <f>"9780203504314"</f>
        <v>9780203504314</v>
      </c>
      <c r="E12" t="s">
        <v>19</v>
      </c>
      <c r="F12" t="s">
        <v>20</v>
      </c>
      <c r="G12" s="1">
        <v>37784</v>
      </c>
      <c r="H12" s="1">
        <v>38595</v>
      </c>
      <c r="I12">
        <v>1</v>
      </c>
      <c r="J12" t="s">
        <v>148</v>
      </c>
      <c r="K12" t="s">
        <v>615</v>
      </c>
      <c r="L12" t="s">
        <v>24</v>
      </c>
      <c r="M12" t="s">
        <v>616</v>
      </c>
      <c r="N12">
        <v>820.93523090329995</v>
      </c>
      <c r="O12" t="s">
        <v>617</v>
      </c>
      <c r="P12" t="s">
        <v>618</v>
      </c>
    </row>
    <row r="13" spans="1:16" x14ac:dyDescent="0.35">
      <c r="A13">
        <v>183307</v>
      </c>
      <c r="B13" t="s">
        <v>619</v>
      </c>
      <c r="C13" t="str">
        <f>"9781841690896"</f>
        <v>9781841690896</v>
      </c>
      <c r="D13" t="str">
        <f>"9780203488430"</f>
        <v>9780203488430</v>
      </c>
      <c r="E13" t="s">
        <v>19</v>
      </c>
      <c r="F13" t="s">
        <v>43</v>
      </c>
      <c r="G13" s="1">
        <v>38156</v>
      </c>
      <c r="H13" s="1">
        <v>38775</v>
      </c>
      <c r="I13">
        <v>1</v>
      </c>
      <c r="K13" t="s">
        <v>620</v>
      </c>
      <c r="L13" t="s">
        <v>25</v>
      </c>
      <c r="M13" t="s">
        <v>621</v>
      </c>
      <c r="N13">
        <v>153.75</v>
      </c>
      <c r="O13" t="s">
        <v>622</v>
      </c>
      <c r="P13" t="s">
        <v>623</v>
      </c>
    </row>
    <row r="14" spans="1:16" x14ac:dyDescent="0.35">
      <c r="A14">
        <v>198406</v>
      </c>
      <c r="B14" t="s">
        <v>624</v>
      </c>
      <c r="C14" t="str">
        <f>"9780749436629"</f>
        <v>9780749436629</v>
      </c>
      <c r="D14" t="str">
        <f>"9780203416761"</f>
        <v>9780203416761</v>
      </c>
      <c r="E14" t="s">
        <v>19</v>
      </c>
      <c r="F14" t="s">
        <v>20</v>
      </c>
      <c r="G14" s="1">
        <v>37714</v>
      </c>
      <c r="H14" s="1">
        <v>38660</v>
      </c>
      <c r="K14" t="s">
        <v>625</v>
      </c>
      <c r="L14" t="s">
        <v>30</v>
      </c>
      <c r="M14" t="s">
        <v>626</v>
      </c>
      <c r="N14">
        <v>378.10700000000003</v>
      </c>
      <c r="O14" t="s">
        <v>627</v>
      </c>
      <c r="P14" t="s">
        <v>628</v>
      </c>
    </row>
    <row r="15" spans="1:16" x14ac:dyDescent="0.35">
      <c r="A15">
        <v>198471</v>
      </c>
      <c r="B15" t="s">
        <v>629</v>
      </c>
      <c r="C15" t="str">
        <f>"9780415321013"</f>
        <v>9780415321013</v>
      </c>
      <c r="D15" t="str">
        <f>"9780203465349"</f>
        <v>9780203465349</v>
      </c>
      <c r="E15" t="s">
        <v>19</v>
      </c>
      <c r="F15" t="s">
        <v>20</v>
      </c>
      <c r="G15" s="1">
        <v>38491</v>
      </c>
      <c r="H15" s="1">
        <v>38596</v>
      </c>
      <c r="I15">
        <v>1</v>
      </c>
      <c r="J15" t="s">
        <v>139</v>
      </c>
      <c r="K15" t="s">
        <v>548</v>
      </c>
      <c r="L15" t="s">
        <v>38</v>
      </c>
      <c r="M15" t="s">
        <v>630</v>
      </c>
      <c r="N15" t="s">
        <v>631</v>
      </c>
      <c r="O15" t="s">
        <v>632</v>
      </c>
      <c r="P15" t="s">
        <v>633</v>
      </c>
    </row>
    <row r="16" spans="1:16" x14ac:dyDescent="0.35">
      <c r="A16">
        <v>198539</v>
      </c>
      <c r="B16" t="s">
        <v>634</v>
      </c>
      <c r="C16" t="str">
        <f>"9780415224475"</f>
        <v>9780415224475</v>
      </c>
      <c r="D16" t="str">
        <f>"9780203380369"</f>
        <v>9780203380369</v>
      </c>
      <c r="E16" t="s">
        <v>19</v>
      </c>
      <c r="F16" t="s">
        <v>20</v>
      </c>
      <c r="G16" s="1">
        <v>37875</v>
      </c>
      <c r="H16" s="1">
        <v>38413</v>
      </c>
      <c r="I16">
        <v>1</v>
      </c>
      <c r="K16" t="s">
        <v>635</v>
      </c>
      <c r="L16" t="s">
        <v>38</v>
      </c>
      <c r="M16" t="s">
        <v>636</v>
      </c>
      <c r="N16">
        <v>305.23099999999999</v>
      </c>
      <c r="O16" t="s">
        <v>547</v>
      </c>
      <c r="P16" t="s">
        <v>637</v>
      </c>
    </row>
    <row r="17" spans="1:16" x14ac:dyDescent="0.35">
      <c r="A17">
        <v>198861</v>
      </c>
      <c r="B17" t="s">
        <v>638</v>
      </c>
      <c r="C17" t="str">
        <f>"9780849319518"</f>
        <v>9780849319518</v>
      </c>
      <c r="D17" t="str">
        <f>"9780203486900"</f>
        <v>9780203486900</v>
      </c>
      <c r="E17" t="s">
        <v>57</v>
      </c>
      <c r="F17" t="s">
        <v>55</v>
      </c>
      <c r="G17" s="1">
        <v>37970</v>
      </c>
      <c r="H17" s="1">
        <v>38663</v>
      </c>
      <c r="K17" t="s">
        <v>639</v>
      </c>
      <c r="L17" t="s">
        <v>166</v>
      </c>
      <c r="M17" t="s">
        <v>640</v>
      </c>
      <c r="N17">
        <v>621.38149999999996</v>
      </c>
      <c r="O17" t="s">
        <v>641</v>
      </c>
      <c r="P17" t="s">
        <v>642</v>
      </c>
    </row>
    <row r="18" spans="1:16" x14ac:dyDescent="0.35">
      <c r="A18">
        <v>198921</v>
      </c>
      <c r="B18" t="s">
        <v>643</v>
      </c>
      <c r="C18" t="str">
        <f>"9780849321436"</f>
        <v>9780849321436</v>
      </c>
      <c r="D18" t="str">
        <f>"9780203492734"</f>
        <v>9780203492734</v>
      </c>
      <c r="E18" t="s">
        <v>57</v>
      </c>
      <c r="F18" t="s">
        <v>57</v>
      </c>
      <c r="G18" s="1">
        <v>37984</v>
      </c>
      <c r="H18" s="1">
        <v>42130</v>
      </c>
      <c r="I18">
        <v>1</v>
      </c>
      <c r="J18" t="s">
        <v>506</v>
      </c>
      <c r="K18" t="s">
        <v>644</v>
      </c>
      <c r="L18" t="s">
        <v>645</v>
      </c>
      <c r="M18" t="s">
        <v>646</v>
      </c>
      <c r="N18">
        <v>610.28</v>
      </c>
      <c r="O18" t="s">
        <v>647</v>
      </c>
      <c r="P18" t="s">
        <v>648</v>
      </c>
    </row>
    <row r="19" spans="1:16" x14ac:dyDescent="0.35">
      <c r="A19">
        <v>199390</v>
      </c>
      <c r="B19" t="s">
        <v>649</v>
      </c>
      <c r="C19" t="str">
        <f>"9780415289450"</f>
        <v>9780415289450</v>
      </c>
      <c r="D19" t="str">
        <f>"9780203326350"</f>
        <v>9780203326350</v>
      </c>
      <c r="E19" t="s">
        <v>19</v>
      </c>
      <c r="F19" t="s">
        <v>20</v>
      </c>
      <c r="G19" s="1">
        <v>38372</v>
      </c>
      <c r="H19" s="1">
        <v>38796</v>
      </c>
      <c r="I19">
        <v>1</v>
      </c>
      <c r="K19" t="s">
        <v>650</v>
      </c>
      <c r="L19" t="s">
        <v>52</v>
      </c>
      <c r="M19">
        <v>2004012159</v>
      </c>
      <c r="N19">
        <v>69</v>
      </c>
      <c r="O19" t="s">
        <v>52</v>
      </c>
      <c r="P19" t="s">
        <v>651</v>
      </c>
    </row>
    <row r="20" spans="1:16" x14ac:dyDescent="0.35">
      <c r="A20">
        <v>199504</v>
      </c>
      <c r="B20" t="s">
        <v>652</v>
      </c>
      <c r="C20" t="str">
        <f>"9780415344906"</f>
        <v>9780415344906</v>
      </c>
      <c r="D20" t="str">
        <f>"9780203340639"</f>
        <v>9780203340639</v>
      </c>
      <c r="E20" t="s">
        <v>19</v>
      </c>
      <c r="F20" t="s">
        <v>20</v>
      </c>
      <c r="G20" s="1">
        <v>38343</v>
      </c>
      <c r="H20" s="1">
        <v>41738</v>
      </c>
      <c r="I20">
        <v>1</v>
      </c>
      <c r="K20" t="s">
        <v>653</v>
      </c>
      <c r="L20" t="s">
        <v>151</v>
      </c>
      <c r="M20" t="s">
        <v>654</v>
      </c>
      <c r="N20" t="s">
        <v>655</v>
      </c>
      <c r="O20" t="s">
        <v>656</v>
      </c>
      <c r="P20" t="s">
        <v>657</v>
      </c>
    </row>
    <row r="21" spans="1:16" x14ac:dyDescent="0.35">
      <c r="A21">
        <v>199577</v>
      </c>
      <c r="B21" t="s">
        <v>658</v>
      </c>
      <c r="C21" t="str">
        <f>"9780415349925"</f>
        <v>9780415349925</v>
      </c>
      <c r="D21" t="str">
        <f>"9780203342763"</f>
        <v>9780203342763</v>
      </c>
      <c r="E21" t="s">
        <v>19</v>
      </c>
      <c r="F21" t="s">
        <v>20</v>
      </c>
      <c r="G21" s="1">
        <v>38461</v>
      </c>
      <c r="H21" s="1">
        <v>38671</v>
      </c>
      <c r="I21">
        <v>2</v>
      </c>
      <c r="J21" t="s">
        <v>659</v>
      </c>
      <c r="K21" t="s">
        <v>660</v>
      </c>
      <c r="L21" t="s">
        <v>35</v>
      </c>
      <c r="M21" t="s">
        <v>661</v>
      </c>
      <c r="N21">
        <v>410.1</v>
      </c>
      <c r="O21" t="s">
        <v>662</v>
      </c>
      <c r="P21" t="s">
        <v>663</v>
      </c>
    </row>
    <row r="22" spans="1:16" x14ac:dyDescent="0.35">
      <c r="A22">
        <v>199665</v>
      </c>
      <c r="B22" t="s">
        <v>664</v>
      </c>
      <c r="C22" t="str">
        <f>"9780415966382"</f>
        <v>9780415966382</v>
      </c>
      <c r="D22" t="str">
        <f>"9780203340073"</f>
        <v>9780203340073</v>
      </c>
      <c r="E22" t="s">
        <v>19</v>
      </c>
      <c r="F22" t="s">
        <v>20</v>
      </c>
      <c r="G22" s="1">
        <v>38245</v>
      </c>
      <c r="H22" s="1">
        <v>38804</v>
      </c>
      <c r="I22">
        <v>1</v>
      </c>
      <c r="J22" t="s">
        <v>346</v>
      </c>
      <c r="K22" t="s">
        <v>665</v>
      </c>
      <c r="L22" t="s">
        <v>37</v>
      </c>
      <c r="M22" t="s">
        <v>666</v>
      </c>
      <c r="N22">
        <v>200.71</v>
      </c>
      <c r="O22" t="s">
        <v>667</v>
      </c>
      <c r="P22" t="s">
        <v>668</v>
      </c>
    </row>
    <row r="23" spans="1:16" x14ac:dyDescent="0.35">
      <c r="A23">
        <v>200020</v>
      </c>
      <c r="B23" t="s">
        <v>669</v>
      </c>
      <c r="C23" t="str">
        <f>"9780415237291"</f>
        <v>9780415237291</v>
      </c>
      <c r="D23" t="str">
        <f>"9781482289084"</f>
        <v>9781482289084</v>
      </c>
      <c r="E23" t="s">
        <v>19</v>
      </c>
      <c r="F23" t="s">
        <v>55</v>
      </c>
      <c r="G23" s="1">
        <v>38231</v>
      </c>
      <c r="H23" s="1">
        <v>38697</v>
      </c>
      <c r="I23">
        <v>1</v>
      </c>
      <c r="K23" t="s">
        <v>670</v>
      </c>
      <c r="L23" t="s">
        <v>171</v>
      </c>
      <c r="M23" t="s">
        <v>671</v>
      </c>
      <c r="N23">
        <v>620.21</v>
      </c>
      <c r="O23" t="s">
        <v>672</v>
      </c>
      <c r="P23" t="s">
        <v>673</v>
      </c>
    </row>
    <row r="24" spans="1:16" x14ac:dyDescent="0.35">
      <c r="A24">
        <v>200382</v>
      </c>
      <c r="B24" t="s">
        <v>674</v>
      </c>
      <c r="C24" t="str">
        <f>"9780415315456"</f>
        <v>9780415315456</v>
      </c>
      <c r="D24" t="str">
        <f>"9780203563410"</f>
        <v>9780203563410</v>
      </c>
      <c r="E24" t="s">
        <v>19</v>
      </c>
      <c r="F24" t="s">
        <v>20</v>
      </c>
      <c r="G24" s="1">
        <v>37971</v>
      </c>
      <c r="H24" s="1">
        <v>38410</v>
      </c>
      <c r="I24">
        <v>1</v>
      </c>
      <c r="J24" t="s">
        <v>72</v>
      </c>
      <c r="K24" t="s">
        <v>675</v>
      </c>
      <c r="L24" t="s">
        <v>34</v>
      </c>
      <c r="M24" t="s">
        <v>676</v>
      </c>
      <c r="N24">
        <v>951.00699999999995</v>
      </c>
      <c r="O24" t="s">
        <v>677</v>
      </c>
      <c r="P24" t="s">
        <v>678</v>
      </c>
    </row>
    <row r="25" spans="1:16" x14ac:dyDescent="0.35">
      <c r="A25">
        <v>200451</v>
      </c>
      <c r="B25" t="s">
        <v>679</v>
      </c>
      <c r="C25" t="str">
        <f>"9780415320443"</f>
        <v>9780415320443</v>
      </c>
      <c r="D25" t="str">
        <f>"9780203694510"</f>
        <v>9780203694510</v>
      </c>
      <c r="E25" t="s">
        <v>19</v>
      </c>
      <c r="F25" t="s">
        <v>20</v>
      </c>
      <c r="G25" s="1">
        <v>38338</v>
      </c>
      <c r="H25" s="1">
        <v>38414</v>
      </c>
      <c r="I25">
        <v>1</v>
      </c>
      <c r="J25" t="s">
        <v>377</v>
      </c>
      <c r="K25" t="s">
        <v>680</v>
      </c>
      <c r="L25" t="s">
        <v>38</v>
      </c>
      <c r="M25" t="s">
        <v>681</v>
      </c>
      <c r="N25">
        <v>305.26</v>
      </c>
      <c r="O25" t="s">
        <v>682</v>
      </c>
      <c r="P25" t="s">
        <v>683</v>
      </c>
    </row>
    <row r="26" spans="1:16" x14ac:dyDescent="0.35">
      <c r="A26">
        <v>200631</v>
      </c>
      <c r="B26" t="s">
        <v>684</v>
      </c>
      <c r="C26" t="str">
        <f>"9780415331814"</f>
        <v>9780415331814</v>
      </c>
      <c r="D26" t="str">
        <f>"9780203643563"</f>
        <v>9780203643563</v>
      </c>
      <c r="E26" t="s">
        <v>19</v>
      </c>
      <c r="F26" t="s">
        <v>20</v>
      </c>
      <c r="G26" s="1">
        <v>39248</v>
      </c>
      <c r="H26" s="1">
        <v>39419</v>
      </c>
      <c r="I26">
        <v>1</v>
      </c>
      <c r="J26" t="s">
        <v>102</v>
      </c>
      <c r="K26" t="s">
        <v>685</v>
      </c>
      <c r="L26" t="s">
        <v>35</v>
      </c>
      <c r="M26" t="s">
        <v>686</v>
      </c>
      <c r="N26">
        <v>415.01819999999998</v>
      </c>
      <c r="O26" t="s">
        <v>687</v>
      </c>
      <c r="P26" t="s">
        <v>688</v>
      </c>
    </row>
    <row r="27" spans="1:16" x14ac:dyDescent="0.35">
      <c r="A27">
        <v>200890</v>
      </c>
      <c r="B27" t="s">
        <v>689</v>
      </c>
      <c r="C27" t="str">
        <f>"9780700713110"</f>
        <v>9780700713110</v>
      </c>
      <c r="D27" t="str">
        <f>"9780203641804"</f>
        <v>9780203641804</v>
      </c>
      <c r="E27" t="s">
        <v>20</v>
      </c>
      <c r="F27" t="s">
        <v>20</v>
      </c>
      <c r="G27" s="1">
        <v>38201</v>
      </c>
      <c r="H27" s="1">
        <v>40037</v>
      </c>
      <c r="I27">
        <v>1</v>
      </c>
      <c r="K27" t="s">
        <v>690</v>
      </c>
      <c r="L27" t="s">
        <v>35</v>
      </c>
      <c r="M27" t="s">
        <v>691</v>
      </c>
      <c r="N27">
        <v>491.55824209999997</v>
      </c>
      <c r="O27" t="s">
        <v>692</v>
      </c>
      <c r="P27" t="s">
        <v>693</v>
      </c>
    </row>
    <row r="28" spans="1:16" x14ac:dyDescent="0.35">
      <c r="A28">
        <v>200986</v>
      </c>
      <c r="B28" t="s">
        <v>694</v>
      </c>
      <c r="C28" t="str">
        <f>"9780714655659"</f>
        <v>9780714655659</v>
      </c>
      <c r="D28" t="str">
        <f>"9780203504260"</f>
        <v>9780203504260</v>
      </c>
      <c r="E28" t="s">
        <v>19</v>
      </c>
      <c r="F28" t="s">
        <v>20</v>
      </c>
      <c r="G28" s="1">
        <v>38036</v>
      </c>
      <c r="H28" s="1">
        <v>38775</v>
      </c>
      <c r="K28" t="s">
        <v>695</v>
      </c>
      <c r="L28" t="s">
        <v>48</v>
      </c>
      <c r="M28" t="s">
        <v>696</v>
      </c>
      <c r="N28">
        <v>792.16095499999994</v>
      </c>
      <c r="O28" t="s">
        <v>697</v>
      </c>
      <c r="P28" t="s">
        <v>698</v>
      </c>
    </row>
    <row r="29" spans="1:16" x14ac:dyDescent="0.35">
      <c r="A29">
        <v>201196</v>
      </c>
      <c r="B29" t="s">
        <v>699</v>
      </c>
      <c r="C29" t="str">
        <f>"9780415275767"</f>
        <v>9780415275767</v>
      </c>
      <c r="D29" t="str">
        <f>"9780203005156"</f>
        <v>9780203005156</v>
      </c>
      <c r="E29" t="s">
        <v>19</v>
      </c>
      <c r="F29" t="s">
        <v>20</v>
      </c>
      <c r="G29" s="1">
        <v>37553</v>
      </c>
      <c r="H29" s="1">
        <v>38774</v>
      </c>
      <c r="I29">
        <v>1</v>
      </c>
      <c r="K29" t="s">
        <v>700</v>
      </c>
      <c r="L29" t="s">
        <v>30</v>
      </c>
      <c r="M29" t="s">
        <v>701</v>
      </c>
      <c r="N29">
        <v>371.33499999999998</v>
      </c>
      <c r="O29" t="s">
        <v>702</v>
      </c>
      <c r="P29" t="s">
        <v>703</v>
      </c>
    </row>
    <row r="30" spans="1:16" x14ac:dyDescent="0.35">
      <c r="A30">
        <v>214531</v>
      </c>
      <c r="B30" t="s">
        <v>704</v>
      </c>
      <c r="C30" t="str">
        <f>"9780415967891"</f>
        <v>9780415967891</v>
      </c>
      <c r="D30" t="str">
        <f>"9780203009901"</f>
        <v>9780203009901</v>
      </c>
      <c r="E30" t="s">
        <v>19</v>
      </c>
      <c r="F30" t="s">
        <v>20</v>
      </c>
      <c r="G30" s="1">
        <v>37784</v>
      </c>
      <c r="H30" s="1">
        <v>38817</v>
      </c>
      <c r="I30">
        <v>1</v>
      </c>
      <c r="J30" t="s">
        <v>133</v>
      </c>
      <c r="K30" t="s">
        <v>705</v>
      </c>
      <c r="L30" t="s">
        <v>35</v>
      </c>
      <c r="M30" t="s">
        <v>706</v>
      </c>
      <c r="N30">
        <v>401.93</v>
      </c>
      <c r="O30" t="s">
        <v>707</v>
      </c>
      <c r="P30" t="s">
        <v>708</v>
      </c>
    </row>
    <row r="31" spans="1:16" x14ac:dyDescent="0.35">
      <c r="A31">
        <v>214553</v>
      </c>
      <c r="B31" t="s">
        <v>709</v>
      </c>
      <c r="C31" t="str">
        <f>"9780714653662"</f>
        <v>9780714653662</v>
      </c>
      <c r="D31" t="str">
        <f>"9780203010396"</f>
        <v>9780203010396</v>
      </c>
      <c r="E31" t="s">
        <v>19</v>
      </c>
      <c r="F31" t="s">
        <v>20</v>
      </c>
      <c r="G31" s="1">
        <v>37863</v>
      </c>
      <c r="H31" s="1">
        <v>38636</v>
      </c>
      <c r="J31" t="s">
        <v>302</v>
      </c>
      <c r="K31" t="s">
        <v>710</v>
      </c>
      <c r="L31" t="s">
        <v>105</v>
      </c>
      <c r="M31" t="s">
        <v>711</v>
      </c>
      <c r="N31">
        <v>363.7056</v>
      </c>
      <c r="O31" t="s">
        <v>712</v>
      </c>
      <c r="P31" t="s">
        <v>713</v>
      </c>
    </row>
    <row r="32" spans="1:16" x14ac:dyDescent="0.35">
      <c r="A32">
        <v>214619</v>
      </c>
      <c r="B32" t="s">
        <v>714</v>
      </c>
      <c r="C32" t="str">
        <f>"9780849317361"</f>
        <v>9780849317361</v>
      </c>
      <c r="D32" t="str">
        <f>"9780203008812"</f>
        <v>9780203008812</v>
      </c>
      <c r="E32" t="s">
        <v>19</v>
      </c>
      <c r="F32" t="s">
        <v>55</v>
      </c>
      <c r="G32" s="1">
        <v>37706</v>
      </c>
      <c r="H32" s="1">
        <v>38816</v>
      </c>
      <c r="I32">
        <v>1</v>
      </c>
      <c r="J32" t="s">
        <v>505</v>
      </c>
      <c r="K32" t="s">
        <v>715</v>
      </c>
      <c r="L32" t="s">
        <v>141</v>
      </c>
      <c r="M32" t="s">
        <v>716</v>
      </c>
      <c r="N32">
        <v>621.38149999999996</v>
      </c>
      <c r="O32" t="s">
        <v>717</v>
      </c>
      <c r="P32" t="s">
        <v>718</v>
      </c>
    </row>
    <row r="33" spans="1:16" x14ac:dyDescent="0.35">
      <c r="A33">
        <v>215916</v>
      </c>
      <c r="B33" t="s">
        <v>719</v>
      </c>
      <c r="C33" t="str">
        <f>"9780824707514"</f>
        <v>9780824707514</v>
      </c>
      <c r="D33" t="str">
        <f>"9780203910818"</f>
        <v>9780203910818</v>
      </c>
      <c r="E33" t="s">
        <v>57</v>
      </c>
      <c r="F33" t="s">
        <v>57</v>
      </c>
      <c r="G33" s="1">
        <v>37307</v>
      </c>
      <c r="H33" s="1">
        <v>38320</v>
      </c>
      <c r="I33">
        <v>1</v>
      </c>
      <c r="J33" t="s">
        <v>262</v>
      </c>
      <c r="K33" t="s">
        <v>720</v>
      </c>
      <c r="L33" t="s">
        <v>115</v>
      </c>
      <c r="M33" t="s">
        <v>721</v>
      </c>
      <c r="N33">
        <v>629.83150000000001</v>
      </c>
      <c r="O33" t="s">
        <v>722</v>
      </c>
      <c r="P33" t="s">
        <v>723</v>
      </c>
    </row>
    <row r="34" spans="1:16" x14ac:dyDescent="0.35">
      <c r="A34">
        <v>215974</v>
      </c>
      <c r="B34" t="s">
        <v>724</v>
      </c>
      <c r="C34" t="str">
        <f>"9780824708719"</f>
        <v>9780824708719</v>
      </c>
      <c r="D34" t="str">
        <f>"9780203911037"</f>
        <v>9780203911037</v>
      </c>
      <c r="E34" t="s">
        <v>19</v>
      </c>
      <c r="F34" t="s">
        <v>55</v>
      </c>
      <c r="G34" s="1">
        <v>37565</v>
      </c>
      <c r="H34" s="1">
        <v>38316</v>
      </c>
      <c r="I34">
        <v>1</v>
      </c>
      <c r="K34" t="s">
        <v>725</v>
      </c>
      <c r="L34" t="s">
        <v>85</v>
      </c>
      <c r="M34" t="s">
        <v>726</v>
      </c>
      <c r="N34">
        <v>620.00420284999996</v>
      </c>
      <c r="O34" t="s">
        <v>727</v>
      </c>
      <c r="P34" t="s">
        <v>728</v>
      </c>
    </row>
    <row r="35" spans="1:16" x14ac:dyDescent="0.35">
      <c r="A35">
        <v>216011</v>
      </c>
      <c r="B35" t="s">
        <v>729</v>
      </c>
      <c r="C35" t="str">
        <f>"9780824708535"</f>
        <v>9780824708535</v>
      </c>
      <c r="D35" t="str">
        <f>"9780203911020"</f>
        <v>9780203911020</v>
      </c>
      <c r="E35" t="s">
        <v>19</v>
      </c>
      <c r="F35" t="s">
        <v>55</v>
      </c>
      <c r="G35" s="1">
        <v>37568</v>
      </c>
      <c r="H35" s="1">
        <v>38315</v>
      </c>
      <c r="I35">
        <v>1</v>
      </c>
      <c r="K35" t="s">
        <v>730</v>
      </c>
      <c r="L35" t="s">
        <v>118</v>
      </c>
      <c r="M35" t="s">
        <v>731</v>
      </c>
      <c r="N35">
        <v>666</v>
      </c>
      <c r="O35" t="s">
        <v>732</v>
      </c>
      <c r="P35" t="s">
        <v>733</v>
      </c>
    </row>
    <row r="36" spans="1:16" x14ac:dyDescent="0.35">
      <c r="A36">
        <v>216075</v>
      </c>
      <c r="B36" t="s">
        <v>734</v>
      </c>
      <c r="C36" t="str">
        <f>"9780824709662"</f>
        <v>9780824709662</v>
      </c>
      <c r="D36" t="str">
        <f>"9780203913161"</f>
        <v>9780203913161</v>
      </c>
      <c r="E36" t="s">
        <v>19</v>
      </c>
      <c r="F36" t="s">
        <v>55</v>
      </c>
      <c r="G36" s="1">
        <v>37929</v>
      </c>
      <c r="H36" s="1">
        <v>38316</v>
      </c>
      <c r="I36">
        <v>1</v>
      </c>
      <c r="J36" t="s">
        <v>735</v>
      </c>
      <c r="K36" t="s">
        <v>736</v>
      </c>
      <c r="L36" t="s">
        <v>234</v>
      </c>
      <c r="M36">
        <v>2003063383</v>
      </c>
      <c r="N36" t="s">
        <v>509</v>
      </c>
      <c r="O36" t="s">
        <v>737</v>
      </c>
      <c r="P36" t="s">
        <v>738</v>
      </c>
    </row>
    <row r="37" spans="1:16" x14ac:dyDescent="0.35">
      <c r="A37">
        <v>216147</v>
      </c>
      <c r="B37" t="s">
        <v>739</v>
      </c>
      <c r="C37" t="str">
        <f>"9780824748692"</f>
        <v>9780824748692</v>
      </c>
      <c r="D37" t="str">
        <f>"9780203027066"</f>
        <v>9780203027066</v>
      </c>
      <c r="E37" t="s">
        <v>57</v>
      </c>
      <c r="F37" t="s">
        <v>57</v>
      </c>
      <c r="G37" s="1">
        <v>37966</v>
      </c>
      <c r="H37" s="1">
        <v>38771</v>
      </c>
      <c r="I37">
        <v>2</v>
      </c>
      <c r="J37" t="s">
        <v>262</v>
      </c>
      <c r="K37" t="s">
        <v>740</v>
      </c>
      <c r="L37" t="s">
        <v>165</v>
      </c>
      <c r="M37" t="s">
        <v>741</v>
      </c>
      <c r="N37" t="s">
        <v>742</v>
      </c>
      <c r="O37" t="s">
        <v>743</v>
      </c>
      <c r="P37" t="s">
        <v>744</v>
      </c>
    </row>
    <row r="38" spans="1:16" x14ac:dyDescent="0.35">
      <c r="A38">
        <v>216266</v>
      </c>
      <c r="B38" t="s">
        <v>745</v>
      </c>
      <c r="C38" t="str">
        <f>"9780824708993"</f>
        <v>9780824708993</v>
      </c>
      <c r="D38" t="str">
        <f>"9780203912362"</f>
        <v>9780203912362</v>
      </c>
      <c r="E38" t="s">
        <v>19</v>
      </c>
      <c r="F38" t="s">
        <v>55</v>
      </c>
      <c r="G38" s="1">
        <v>37678</v>
      </c>
      <c r="H38" s="1">
        <v>38316</v>
      </c>
      <c r="I38">
        <v>1</v>
      </c>
      <c r="J38" t="s">
        <v>177</v>
      </c>
      <c r="K38" t="s">
        <v>746</v>
      </c>
      <c r="L38" t="s">
        <v>118</v>
      </c>
      <c r="M38" t="s">
        <v>747</v>
      </c>
      <c r="N38">
        <v>668.1</v>
      </c>
      <c r="O38" t="s">
        <v>748</v>
      </c>
      <c r="P38" t="s">
        <v>749</v>
      </c>
    </row>
    <row r="39" spans="1:16" x14ac:dyDescent="0.35">
      <c r="A39">
        <v>216362</v>
      </c>
      <c r="B39" t="s">
        <v>750</v>
      </c>
      <c r="C39" t="str">
        <f>"9780824742737"</f>
        <v>9780824742737</v>
      </c>
      <c r="D39" t="str">
        <f>"9780203911204"</f>
        <v>9780203911204</v>
      </c>
      <c r="E39" t="s">
        <v>19</v>
      </c>
      <c r="F39" t="s">
        <v>55</v>
      </c>
      <c r="G39" s="1">
        <v>37805</v>
      </c>
      <c r="H39" s="1">
        <v>38316</v>
      </c>
      <c r="J39" t="s">
        <v>751</v>
      </c>
      <c r="K39" t="s">
        <v>752</v>
      </c>
      <c r="L39" t="s">
        <v>753</v>
      </c>
      <c r="M39" t="s">
        <v>754</v>
      </c>
      <c r="N39" t="s">
        <v>755</v>
      </c>
      <c r="O39" t="s">
        <v>756</v>
      </c>
      <c r="P39" t="s">
        <v>757</v>
      </c>
    </row>
    <row r="40" spans="1:16" x14ac:dyDescent="0.35">
      <c r="A40">
        <v>216425</v>
      </c>
      <c r="B40" t="s">
        <v>758</v>
      </c>
      <c r="C40" t="str">
        <f>"9780824708436"</f>
        <v>9780824708436</v>
      </c>
      <c r="D40" t="str">
        <f>"9780429222610"</f>
        <v>9780429222610</v>
      </c>
      <c r="E40" t="s">
        <v>19</v>
      </c>
      <c r="F40" t="s">
        <v>55</v>
      </c>
      <c r="G40" s="1">
        <v>37567</v>
      </c>
      <c r="H40" s="1">
        <v>38315</v>
      </c>
      <c r="I40">
        <v>1</v>
      </c>
      <c r="J40" t="s">
        <v>177</v>
      </c>
      <c r="K40" t="s">
        <v>759</v>
      </c>
      <c r="L40" t="s">
        <v>760</v>
      </c>
      <c r="M40" t="s">
        <v>761</v>
      </c>
      <c r="N40" t="s">
        <v>762</v>
      </c>
      <c r="O40" t="s">
        <v>763</v>
      </c>
      <c r="P40" t="s">
        <v>764</v>
      </c>
    </row>
    <row r="41" spans="1:16" x14ac:dyDescent="0.35">
      <c r="A41">
        <v>216436</v>
      </c>
      <c r="B41" t="s">
        <v>765</v>
      </c>
      <c r="C41" t="str">
        <f>"9780824702557"</f>
        <v>9780824702557</v>
      </c>
      <c r="D41" t="str">
        <f>"9780203908662"</f>
        <v>9780203908662</v>
      </c>
      <c r="E41" t="s">
        <v>57</v>
      </c>
      <c r="F41" t="s">
        <v>57</v>
      </c>
      <c r="G41" s="1">
        <v>37068</v>
      </c>
      <c r="H41" s="1">
        <v>38320</v>
      </c>
      <c r="I41">
        <v>1</v>
      </c>
      <c r="J41" t="s">
        <v>766</v>
      </c>
      <c r="K41" t="s">
        <v>767</v>
      </c>
      <c r="L41" t="s">
        <v>118</v>
      </c>
      <c r="M41" t="s">
        <v>768</v>
      </c>
      <c r="N41">
        <v>668.1</v>
      </c>
      <c r="O41" t="s">
        <v>769</v>
      </c>
      <c r="P41" t="s">
        <v>770</v>
      </c>
    </row>
    <row r="42" spans="1:16" x14ac:dyDescent="0.35">
      <c r="A42">
        <v>216437</v>
      </c>
      <c r="B42" t="s">
        <v>771</v>
      </c>
      <c r="C42" t="str">
        <f>"9780824743000"</f>
        <v>9780824743000</v>
      </c>
      <c r="D42" t="str">
        <f>"9780203911730"</f>
        <v>9780203911730</v>
      </c>
      <c r="E42" t="s">
        <v>19</v>
      </c>
      <c r="F42" t="s">
        <v>55</v>
      </c>
      <c r="G42" s="1">
        <v>37805</v>
      </c>
      <c r="H42" s="1">
        <v>42340</v>
      </c>
      <c r="I42">
        <v>2</v>
      </c>
      <c r="J42" t="s">
        <v>177</v>
      </c>
      <c r="K42" t="s">
        <v>772</v>
      </c>
      <c r="L42" t="s">
        <v>118</v>
      </c>
      <c r="M42" t="s">
        <v>773</v>
      </c>
      <c r="N42">
        <v>668.1</v>
      </c>
      <c r="O42" t="s">
        <v>774</v>
      </c>
      <c r="P42" t="s">
        <v>775</v>
      </c>
    </row>
    <row r="43" spans="1:16" x14ac:dyDescent="0.35">
      <c r="A43">
        <v>216446</v>
      </c>
      <c r="B43" t="s">
        <v>776</v>
      </c>
      <c r="C43" t="str">
        <f>"9780824742980"</f>
        <v>9780824742980</v>
      </c>
      <c r="D43" t="str">
        <f>"9780203913079"</f>
        <v>9780203913079</v>
      </c>
      <c r="E43" t="s">
        <v>57</v>
      </c>
      <c r="F43" t="s">
        <v>55</v>
      </c>
      <c r="G43" s="1">
        <v>37915</v>
      </c>
      <c r="H43" s="1">
        <v>38320</v>
      </c>
      <c r="J43" t="s">
        <v>323</v>
      </c>
      <c r="K43" t="s">
        <v>777</v>
      </c>
      <c r="L43" t="s">
        <v>248</v>
      </c>
      <c r="M43" t="s">
        <v>778</v>
      </c>
      <c r="N43" t="s">
        <v>779</v>
      </c>
      <c r="O43" t="s">
        <v>780</v>
      </c>
      <c r="P43" t="s">
        <v>781</v>
      </c>
    </row>
    <row r="44" spans="1:16" x14ac:dyDescent="0.35">
      <c r="A44">
        <v>216495</v>
      </c>
      <c r="B44" t="s">
        <v>782</v>
      </c>
      <c r="C44" t="str">
        <f>"9780824753733"</f>
        <v>9780824753733</v>
      </c>
      <c r="D44" t="str">
        <f>"9780203020470"</f>
        <v>9780203020470</v>
      </c>
      <c r="E44" t="s">
        <v>57</v>
      </c>
      <c r="F44" t="s">
        <v>57</v>
      </c>
      <c r="G44" s="1">
        <v>38062</v>
      </c>
      <c r="H44" s="1">
        <v>38771</v>
      </c>
      <c r="I44">
        <v>1</v>
      </c>
      <c r="J44" t="s">
        <v>174</v>
      </c>
      <c r="K44" t="s">
        <v>783</v>
      </c>
      <c r="L44" t="s">
        <v>261</v>
      </c>
      <c r="M44" t="s">
        <v>784</v>
      </c>
      <c r="N44">
        <v>621.36599999999999</v>
      </c>
      <c r="O44" t="s">
        <v>785</v>
      </c>
      <c r="P44" t="s">
        <v>786</v>
      </c>
    </row>
    <row r="45" spans="1:16" x14ac:dyDescent="0.35">
      <c r="A45">
        <v>220317</v>
      </c>
      <c r="B45" t="s">
        <v>787</v>
      </c>
      <c r="C45" t="str">
        <f>"9781859416143"</f>
        <v>9781859416143</v>
      </c>
      <c r="D45" t="str">
        <f>"9781843144243"</f>
        <v>9781843144243</v>
      </c>
      <c r="E45" t="s">
        <v>19</v>
      </c>
      <c r="F45" t="s">
        <v>182</v>
      </c>
      <c r="G45" s="1">
        <v>37265</v>
      </c>
      <c r="H45" s="1">
        <v>38455</v>
      </c>
      <c r="K45" t="s">
        <v>788</v>
      </c>
      <c r="L45" t="s">
        <v>24</v>
      </c>
      <c r="M45" t="s">
        <v>789</v>
      </c>
      <c r="N45">
        <v>823.91093550000005</v>
      </c>
      <c r="O45" t="s">
        <v>790</v>
      </c>
      <c r="P45" t="s">
        <v>791</v>
      </c>
    </row>
    <row r="46" spans="1:16" x14ac:dyDescent="0.35">
      <c r="A46">
        <v>241749</v>
      </c>
      <c r="B46" t="s">
        <v>792</v>
      </c>
      <c r="C46" t="str">
        <f>"9780415948562"</f>
        <v>9780415948562</v>
      </c>
      <c r="D46" t="str">
        <f>"9780203004852"</f>
        <v>9780203004852</v>
      </c>
      <c r="E46" t="s">
        <v>19</v>
      </c>
      <c r="F46" t="s">
        <v>20</v>
      </c>
      <c r="G46" s="1">
        <v>38092</v>
      </c>
      <c r="H46" s="1">
        <v>38793</v>
      </c>
      <c r="I46">
        <v>2</v>
      </c>
      <c r="K46" t="s">
        <v>793</v>
      </c>
      <c r="L46" t="s">
        <v>30</v>
      </c>
      <c r="M46" t="s">
        <v>794</v>
      </c>
      <c r="N46">
        <v>370.11500000000001</v>
      </c>
      <c r="O46" t="s">
        <v>795</v>
      </c>
      <c r="P46" t="s">
        <v>796</v>
      </c>
    </row>
    <row r="47" spans="1:16" x14ac:dyDescent="0.35">
      <c r="A47">
        <v>243117</v>
      </c>
      <c r="B47" t="s">
        <v>797</v>
      </c>
      <c r="C47" t="str">
        <f>"9780415273350"</f>
        <v>9780415273350</v>
      </c>
      <c r="D47" t="str">
        <f>"9780203994979"</f>
        <v>9780203994979</v>
      </c>
      <c r="E47" t="s">
        <v>57</v>
      </c>
      <c r="F47" t="s">
        <v>60</v>
      </c>
      <c r="G47" s="1">
        <v>37575</v>
      </c>
      <c r="H47" s="1">
        <v>38732</v>
      </c>
      <c r="K47" t="s">
        <v>798</v>
      </c>
      <c r="L47" t="s">
        <v>61</v>
      </c>
      <c r="M47" t="s">
        <v>799</v>
      </c>
      <c r="N47">
        <v>720</v>
      </c>
      <c r="O47" t="s">
        <v>800</v>
      </c>
      <c r="P47" t="s">
        <v>801</v>
      </c>
    </row>
    <row r="48" spans="1:16" x14ac:dyDescent="0.35">
      <c r="A48">
        <v>243362</v>
      </c>
      <c r="B48" t="s">
        <v>802</v>
      </c>
      <c r="C48" t="str">
        <f>"9780415334266"</f>
        <v>9780415334266</v>
      </c>
      <c r="D48" t="str">
        <f>"9780203415047"</f>
        <v>9780203415047</v>
      </c>
      <c r="E48" t="s">
        <v>19</v>
      </c>
      <c r="F48" t="s">
        <v>20</v>
      </c>
      <c r="G48" s="1">
        <v>38524</v>
      </c>
      <c r="H48" s="1">
        <v>38741</v>
      </c>
      <c r="K48" t="s">
        <v>803</v>
      </c>
      <c r="L48" t="s">
        <v>144</v>
      </c>
      <c r="M48" t="s">
        <v>804</v>
      </c>
      <c r="N48">
        <v>570</v>
      </c>
      <c r="O48" t="s">
        <v>805</v>
      </c>
      <c r="P48" t="s">
        <v>806</v>
      </c>
    </row>
    <row r="49" spans="1:16" x14ac:dyDescent="0.35">
      <c r="A49">
        <v>254351</v>
      </c>
      <c r="B49" t="s">
        <v>807</v>
      </c>
      <c r="C49" t="str">
        <f>"9780415367004"</f>
        <v>9780415367004</v>
      </c>
      <c r="D49" t="str">
        <f>"9780203970829"</f>
        <v>9780203970829</v>
      </c>
      <c r="E49" t="s">
        <v>57</v>
      </c>
      <c r="F49" t="s">
        <v>57</v>
      </c>
      <c r="G49" s="1">
        <v>38367</v>
      </c>
      <c r="H49" s="1">
        <v>38824</v>
      </c>
      <c r="I49">
        <v>1</v>
      </c>
      <c r="K49" t="s">
        <v>808</v>
      </c>
      <c r="L49" t="s">
        <v>31</v>
      </c>
      <c r="M49" t="s">
        <v>809</v>
      </c>
      <c r="N49">
        <v>363.738</v>
      </c>
      <c r="O49" t="s">
        <v>810</v>
      </c>
      <c r="P49" t="s">
        <v>811</v>
      </c>
    </row>
    <row r="50" spans="1:16" x14ac:dyDescent="0.35">
      <c r="A50">
        <v>254362</v>
      </c>
      <c r="B50" t="s">
        <v>812</v>
      </c>
      <c r="C50" t="str">
        <f>"9780415371247"</f>
        <v>9780415371247</v>
      </c>
      <c r="D50" t="str">
        <f>"9780203098745"</f>
        <v>9780203098745</v>
      </c>
      <c r="E50" t="s">
        <v>19</v>
      </c>
      <c r="F50" t="s">
        <v>20</v>
      </c>
      <c r="G50" s="1">
        <v>38698</v>
      </c>
      <c r="H50" s="1">
        <v>38810</v>
      </c>
      <c r="I50">
        <v>1</v>
      </c>
      <c r="J50" t="s">
        <v>277</v>
      </c>
      <c r="K50" t="s">
        <v>414</v>
      </c>
      <c r="L50" t="s">
        <v>37</v>
      </c>
      <c r="M50" t="s">
        <v>813</v>
      </c>
      <c r="N50">
        <v>294.3</v>
      </c>
      <c r="O50" t="s">
        <v>814</v>
      </c>
      <c r="P50" t="s">
        <v>815</v>
      </c>
    </row>
    <row r="51" spans="1:16" x14ac:dyDescent="0.35">
      <c r="A51">
        <v>254449</v>
      </c>
      <c r="B51" t="s">
        <v>816</v>
      </c>
      <c r="C51" t="str">
        <f>"9780415339568"</f>
        <v>9780415339568</v>
      </c>
      <c r="D51" t="str">
        <f>"9780203087114"</f>
        <v>9780203087114</v>
      </c>
      <c r="E51" t="s">
        <v>19</v>
      </c>
      <c r="F51" t="s">
        <v>20</v>
      </c>
      <c r="G51" s="1">
        <v>38526</v>
      </c>
      <c r="H51" s="1">
        <v>38834</v>
      </c>
      <c r="I51">
        <v>1</v>
      </c>
      <c r="K51" t="s">
        <v>817</v>
      </c>
      <c r="L51" t="s">
        <v>27</v>
      </c>
      <c r="M51" t="s">
        <v>818</v>
      </c>
      <c r="N51">
        <v>706.88</v>
      </c>
      <c r="O51" t="s">
        <v>819</v>
      </c>
      <c r="P51" t="s">
        <v>820</v>
      </c>
    </row>
    <row r="52" spans="1:16" x14ac:dyDescent="0.35">
      <c r="A52">
        <v>254455</v>
      </c>
      <c r="B52" t="s">
        <v>821</v>
      </c>
      <c r="C52" t="str">
        <f>"9780415701587"</f>
        <v>9780415701587</v>
      </c>
      <c r="D52" t="str">
        <f>"9780203799277"</f>
        <v>9780203799277</v>
      </c>
      <c r="E52" t="s">
        <v>19</v>
      </c>
      <c r="F52" t="s">
        <v>20</v>
      </c>
      <c r="G52" s="1">
        <v>38705</v>
      </c>
      <c r="H52" s="1">
        <v>38825</v>
      </c>
      <c r="I52">
        <v>1</v>
      </c>
      <c r="J52" t="s">
        <v>387</v>
      </c>
      <c r="K52" t="s">
        <v>822</v>
      </c>
      <c r="L52" t="s">
        <v>823</v>
      </c>
      <c r="M52" t="s">
        <v>824</v>
      </c>
      <c r="N52">
        <v>174.28</v>
      </c>
      <c r="O52" t="s">
        <v>825</v>
      </c>
      <c r="P52" t="s">
        <v>826</v>
      </c>
    </row>
    <row r="53" spans="1:16" x14ac:dyDescent="0.35">
      <c r="A53">
        <v>257003</v>
      </c>
      <c r="B53" t="s">
        <v>827</v>
      </c>
      <c r="C53" t="str">
        <f>"9780415268806"</f>
        <v>9780415268806</v>
      </c>
      <c r="D53" t="str">
        <f>"9780203970836"</f>
        <v>9780203970836</v>
      </c>
      <c r="E53" t="s">
        <v>19</v>
      </c>
      <c r="F53" t="s">
        <v>20</v>
      </c>
      <c r="G53" s="1">
        <v>38786</v>
      </c>
      <c r="H53" s="1">
        <v>38952</v>
      </c>
      <c r="J53" t="s">
        <v>44</v>
      </c>
      <c r="K53" t="s">
        <v>828</v>
      </c>
      <c r="L53" t="s">
        <v>209</v>
      </c>
      <c r="M53" t="s">
        <v>829</v>
      </c>
      <c r="N53">
        <v>174.91499999999999</v>
      </c>
      <c r="O53" t="s">
        <v>830</v>
      </c>
      <c r="P53" t="s">
        <v>831</v>
      </c>
    </row>
    <row r="54" spans="1:16" x14ac:dyDescent="0.35">
      <c r="A54">
        <v>257310</v>
      </c>
      <c r="B54" t="s">
        <v>832</v>
      </c>
      <c r="C54" t="str">
        <f>"9780805852332"</f>
        <v>9780805852332</v>
      </c>
      <c r="D54" t="str">
        <f>"9781410613837"</f>
        <v>9781410613837</v>
      </c>
      <c r="E54" t="s">
        <v>19</v>
      </c>
      <c r="F54" t="s">
        <v>20</v>
      </c>
      <c r="G54" s="1">
        <v>38461</v>
      </c>
      <c r="H54" s="1">
        <v>38840</v>
      </c>
      <c r="J54" t="s">
        <v>833</v>
      </c>
      <c r="K54" t="s">
        <v>834</v>
      </c>
      <c r="L54" t="s">
        <v>38</v>
      </c>
      <c r="M54" t="s">
        <v>835</v>
      </c>
      <c r="N54">
        <v>302.2</v>
      </c>
      <c r="O54" t="s">
        <v>836</v>
      </c>
      <c r="P54" t="s">
        <v>837</v>
      </c>
    </row>
    <row r="55" spans="1:16" x14ac:dyDescent="0.35">
      <c r="A55">
        <v>259062</v>
      </c>
      <c r="B55" t="s">
        <v>838</v>
      </c>
      <c r="C55" t="str">
        <f>"9780415357661"</f>
        <v>9780415357661</v>
      </c>
      <c r="D55" t="str">
        <f>"9780203003565"</f>
        <v>9780203003565</v>
      </c>
      <c r="E55" t="s">
        <v>19</v>
      </c>
      <c r="F55" t="s">
        <v>20</v>
      </c>
      <c r="G55" s="1">
        <v>38762</v>
      </c>
      <c r="H55" s="1">
        <v>38869</v>
      </c>
      <c r="K55" t="s">
        <v>839</v>
      </c>
      <c r="L55" t="s">
        <v>52</v>
      </c>
      <c r="M55" t="s">
        <v>840</v>
      </c>
      <c r="N55">
        <v>69</v>
      </c>
      <c r="O55" t="s">
        <v>841</v>
      </c>
      <c r="P55" t="s">
        <v>842</v>
      </c>
    </row>
    <row r="56" spans="1:16" x14ac:dyDescent="0.35">
      <c r="A56">
        <v>261297</v>
      </c>
      <c r="B56" t="s">
        <v>843</v>
      </c>
      <c r="C56" t="str">
        <f>"9780415361170"</f>
        <v>9780415361170</v>
      </c>
      <c r="D56" t="str">
        <f>"9780203462911"</f>
        <v>9780203462911</v>
      </c>
      <c r="E56" t="s">
        <v>19</v>
      </c>
      <c r="F56" t="s">
        <v>20</v>
      </c>
      <c r="G56" s="1">
        <v>38666</v>
      </c>
      <c r="H56" s="1">
        <v>38887</v>
      </c>
      <c r="I56">
        <v>3</v>
      </c>
      <c r="J56" t="s">
        <v>844</v>
      </c>
      <c r="K56" t="s">
        <v>845</v>
      </c>
      <c r="L56" t="s">
        <v>24</v>
      </c>
      <c r="M56" t="s">
        <v>846</v>
      </c>
      <c r="N56">
        <v>803</v>
      </c>
      <c r="O56" t="s">
        <v>847</v>
      </c>
      <c r="P56" t="s">
        <v>848</v>
      </c>
    </row>
    <row r="57" spans="1:16" x14ac:dyDescent="0.35">
      <c r="A57">
        <v>261423</v>
      </c>
      <c r="B57" t="s">
        <v>849</v>
      </c>
      <c r="C57" t="str">
        <f>"9780805855203"</f>
        <v>9780805855203</v>
      </c>
      <c r="D57" t="str">
        <f>"9781410613271"</f>
        <v>9781410613271</v>
      </c>
      <c r="E57" t="s">
        <v>19</v>
      </c>
      <c r="F57" t="s">
        <v>43</v>
      </c>
      <c r="G57" s="1">
        <v>38561</v>
      </c>
      <c r="H57" s="1">
        <v>38891</v>
      </c>
      <c r="J57" t="s">
        <v>850</v>
      </c>
      <c r="K57" t="s">
        <v>851</v>
      </c>
      <c r="L57" t="s">
        <v>28</v>
      </c>
      <c r="M57" t="s">
        <v>852</v>
      </c>
      <c r="N57">
        <v>658.83420000000001</v>
      </c>
      <c r="O57" t="s">
        <v>853</v>
      </c>
      <c r="P57" t="s">
        <v>854</v>
      </c>
    </row>
    <row r="58" spans="1:16" x14ac:dyDescent="0.35">
      <c r="A58">
        <v>261424</v>
      </c>
      <c r="B58" t="s">
        <v>855</v>
      </c>
      <c r="C58" t="str">
        <f>"9780805855036"</f>
        <v>9780805855036</v>
      </c>
      <c r="D58" t="str">
        <f>"9781410615756"</f>
        <v>9781410615756</v>
      </c>
      <c r="E58" t="s">
        <v>19</v>
      </c>
      <c r="F58" t="s">
        <v>20</v>
      </c>
      <c r="G58" s="1">
        <v>38624</v>
      </c>
      <c r="H58" s="1">
        <v>38891</v>
      </c>
      <c r="J58" t="s">
        <v>856</v>
      </c>
      <c r="K58" t="s">
        <v>857</v>
      </c>
      <c r="L58" t="s">
        <v>220</v>
      </c>
      <c r="M58" t="s">
        <v>858</v>
      </c>
      <c r="N58" t="s">
        <v>260</v>
      </c>
      <c r="O58" t="s">
        <v>859</v>
      </c>
      <c r="P58" t="s">
        <v>860</v>
      </c>
    </row>
    <row r="59" spans="1:16" x14ac:dyDescent="0.35">
      <c r="A59">
        <v>274514</v>
      </c>
      <c r="B59" t="s">
        <v>861</v>
      </c>
      <c r="C59" t="str">
        <f>"9780805844177"</f>
        <v>9780805844177</v>
      </c>
      <c r="D59" t="str">
        <f>"9781410617040"</f>
        <v>9781410617040</v>
      </c>
      <c r="E59" t="s">
        <v>19</v>
      </c>
      <c r="F59" t="s">
        <v>20</v>
      </c>
      <c r="G59" s="1">
        <v>38672</v>
      </c>
      <c r="H59" s="1">
        <v>39008</v>
      </c>
      <c r="J59" t="s">
        <v>862</v>
      </c>
      <c r="K59" t="s">
        <v>863</v>
      </c>
      <c r="L59" t="s">
        <v>35</v>
      </c>
      <c r="M59" t="s">
        <v>864</v>
      </c>
      <c r="N59" t="s">
        <v>253</v>
      </c>
      <c r="O59" t="s">
        <v>865</v>
      </c>
      <c r="P59" t="s">
        <v>866</v>
      </c>
    </row>
    <row r="60" spans="1:16" x14ac:dyDescent="0.35">
      <c r="A60">
        <v>274533</v>
      </c>
      <c r="B60" t="s">
        <v>867</v>
      </c>
      <c r="C60" t="str">
        <f>"9780805851601"</f>
        <v>9780805851601</v>
      </c>
      <c r="D60" t="str">
        <f>"9781410617163"</f>
        <v>9781410617163</v>
      </c>
      <c r="E60" t="s">
        <v>19</v>
      </c>
      <c r="F60" t="s">
        <v>20</v>
      </c>
      <c r="G60" s="1">
        <v>38652</v>
      </c>
      <c r="H60" s="1">
        <v>39008</v>
      </c>
      <c r="K60" t="s">
        <v>868</v>
      </c>
      <c r="L60" t="s">
        <v>30</v>
      </c>
      <c r="M60" t="s">
        <v>869</v>
      </c>
      <c r="N60" t="s">
        <v>317</v>
      </c>
      <c r="O60" t="s">
        <v>870</v>
      </c>
      <c r="P60" t="s">
        <v>871</v>
      </c>
    </row>
    <row r="61" spans="1:16" x14ac:dyDescent="0.35">
      <c r="A61">
        <v>274544</v>
      </c>
      <c r="B61" t="s">
        <v>872</v>
      </c>
      <c r="C61" t="str">
        <f>"9780805854374"</f>
        <v>9780805854374</v>
      </c>
      <c r="D61" t="str">
        <f>"9781410617347"</f>
        <v>9781410617347</v>
      </c>
      <c r="E61" t="s">
        <v>19</v>
      </c>
      <c r="F61" t="s">
        <v>20</v>
      </c>
      <c r="G61" s="1">
        <v>38667</v>
      </c>
      <c r="H61" s="1">
        <v>39008</v>
      </c>
      <c r="K61" t="s">
        <v>873</v>
      </c>
      <c r="L61" t="s">
        <v>123</v>
      </c>
      <c r="M61" t="s">
        <v>874</v>
      </c>
      <c r="N61">
        <v>428</v>
      </c>
      <c r="O61" t="s">
        <v>875</v>
      </c>
      <c r="P61" t="s">
        <v>876</v>
      </c>
    </row>
    <row r="62" spans="1:16" x14ac:dyDescent="0.35">
      <c r="A62">
        <v>291373</v>
      </c>
      <c r="B62" t="s">
        <v>877</v>
      </c>
      <c r="C62" t="str">
        <f>"9780415976602"</f>
        <v>9780415976602</v>
      </c>
      <c r="D62" t="str">
        <f>"9780203942994"</f>
        <v>9780203942994</v>
      </c>
      <c r="E62" t="s">
        <v>19</v>
      </c>
      <c r="F62" t="s">
        <v>20</v>
      </c>
      <c r="G62" s="1">
        <v>39057</v>
      </c>
      <c r="H62" s="1">
        <v>39471</v>
      </c>
      <c r="I62">
        <v>1</v>
      </c>
      <c r="J62" t="s">
        <v>878</v>
      </c>
      <c r="K62" t="s">
        <v>879</v>
      </c>
      <c r="L62" t="s">
        <v>27</v>
      </c>
      <c r="M62" t="s">
        <v>880</v>
      </c>
      <c r="N62">
        <v>791.45090000000005</v>
      </c>
      <c r="O62" t="s">
        <v>881</v>
      </c>
      <c r="P62" t="s">
        <v>882</v>
      </c>
    </row>
    <row r="63" spans="1:16" x14ac:dyDescent="0.35">
      <c r="A63">
        <v>308524</v>
      </c>
      <c r="B63" t="s">
        <v>883</v>
      </c>
      <c r="C63" t="str">
        <f>"9780415243834"</f>
        <v>9780415243834</v>
      </c>
      <c r="D63" t="str">
        <f>"9780203099650"</f>
        <v>9780203099650</v>
      </c>
      <c r="E63" t="s">
        <v>19</v>
      </c>
      <c r="F63" t="s">
        <v>20</v>
      </c>
      <c r="G63" s="1">
        <v>38595</v>
      </c>
      <c r="H63" s="1">
        <v>39491</v>
      </c>
      <c r="I63">
        <v>1</v>
      </c>
      <c r="J63" t="s">
        <v>399</v>
      </c>
      <c r="K63" t="s">
        <v>884</v>
      </c>
      <c r="L63" t="s">
        <v>38</v>
      </c>
      <c r="M63" t="s">
        <v>885</v>
      </c>
      <c r="N63">
        <v>302.23009999999999</v>
      </c>
      <c r="O63" t="s">
        <v>886</v>
      </c>
      <c r="P63" t="s">
        <v>887</v>
      </c>
    </row>
    <row r="64" spans="1:16" x14ac:dyDescent="0.35">
      <c r="A64">
        <v>308543</v>
      </c>
      <c r="B64" t="s">
        <v>888</v>
      </c>
      <c r="C64" t="str">
        <f>"9780415317047"</f>
        <v>9780415317047</v>
      </c>
      <c r="D64" t="str">
        <f>"9780203509616"</f>
        <v>9780203509616</v>
      </c>
      <c r="E64" t="s">
        <v>19</v>
      </c>
      <c r="F64" t="s">
        <v>20</v>
      </c>
      <c r="G64" s="1">
        <v>38705</v>
      </c>
      <c r="H64" s="1">
        <v>39491</v>
      </c>
      <c r="I64">
        <v>1</v>
      </c>
      <c r="K64" t="s">
        <v>889</v>
      </c>
      <c r="L64" t="s">
        <v>38</v>
      </c>
      <c r="M64" t="s">
        <v>890</v>
      </c>
      <c r="N64">
        <v>302.23</v>
      </c>
      <c r="O64" t="s">
        <v>891</v>
      </c>
      <c r="P64" t="s">
        <v>892</v>
      </c>
    </row>
    <row r="65" spans="1:16" x14ac:dyDescent="0.35">
      <c r="A65">
        <v>308545</v>
      </c>
      <c r="B65" t="s">
        <v>893</v>
      </c>
      <c r="C65" t="str">
        <f>"9780415401418"</f>
        <v>9780415401418</v>
      </c>
      <c r="D65" t="str">
        <f>"9780203961759"</f>
        <v>9780203961759</v>
      </c>
      <c r="E65" t="s">
        <v>19</v>
      </c>
      <c r="F65" t="s">
        <v>20</v>
      </c>
      <c r="G65" s="1">
        <v>39192</v>
      </c>
      <c r="H65" s="1">
        <v>39318</v>
      </c>
      <c r="I65">
        <v>1</v>
      </c>
      <c r="K65" t="s">
        <v>894</v>
      </c>
      <c r="L65" t="s">
        <v>124</v>
      </c>
      <c r="M65" t="s">
        <v>895</v>
      </c>
      <c r="N65">
        <v>610.28499999999997</v>
      </c>
      <c r="O65" t="s">
        <v>896</v>
      </c>
      <c r="P65" t="s">
        <v>897</v>
      </c>
    </row>
    <row r="66" spans="1:16" x14ac:dyDescent="0.35">
      <c r="A66">
        <v>308835</v>
      </c>
      <c r="B66" t="s">
        <v>898</v>
      </c>
      <c r="C66" t="str">
        <f>"9780415394963"</f>
        <v>9780415394963</v>
      </c>
      <c r="D66" t="str">
        <f>"9780203960738"</f>
        <v>9780203960738</v>
      </c>
      <c r="E66" t="s">
        <v>19</v>
      </c>
      <c r="F66" t="s">
        <v>20</v>
      </c>
      <c r="G66" s="1">
        <v>39323</v>
      </c>
      <c r="H66" s="1">
        <v>39346</v>
      </c>
      <c r="I66">
        <v>1</v>
      </c>
      <c r="J66" t="s">
        <v>277</v>
      </c>
      <c r="K66" t="s">
        <v>899</v>
      </c>
      <c r="L66" t="s">
        <v>37</v>
      </c>
      <c r="M66" t="s">
        <v>900</v>
      </c>
      <c r="N66" t="s">
        <v>901</v>
      </c>
      <c r="O66" t="s">
        <v>902</v>
      </c>
      <c r="P66" t="s">
        <v>903</v>
      </c>
    </row>
    <row r="67" spans="1:16" x14ac:dyDescent="0.35">
      <c r="A67">
        <v>309840</v>
      </c>
      <c r="B67" t="s">
        <v>904</v>
      </c>
      <c r="C67" t="str">
        <f>"9780805843583"</f>
        <v>9780805843583</v>
      </c>
      <c r="D67" t="str">
        <f>"9781410618092"</f>
        <v>9781410618092</v>
      </c>
      <c r="E67" t="s">
        <v>19</v>
      </c>
      <c r="F67" t="s">
        <v>43</v>
      </c>
      <c r="G67" s="1">
        <v>39344</v>
      </c>
      <c r="H67" s="1">
        <v>40207</v>
      </c>
      <c r="I67">
        <v>1</v>
      </c>
      <c r="K67" t="s">
        <v>905</v>
      </c>
      <c r="L67" t="s">
        <v>25</v>
      </c>
      <c r="M67" t="s">
        <v>906</v>
      </c>
      <c r="N67" t="s">
        <v>63</v>
      </c>
      <c r="O67" t="s">
        <v>907</v>
      </c>
      <c r="P67" t="s">
        <v>908</v>
      </c>
    </row>
    <row r="68" spans="1:16" x14ac:dyDescent="0.35">
      <c r="A68">
        <v>324931</v>
      </c>
      <c r="B68" t="s">
        <v>909</v>
      </c>
      <c r="C68" t="str">
        <f>"9780415420938"</f>
        <v>9780415420938</v>
      </c>
      <c r="D68" t="str">
        <f>"9780203960875"</f>
        <v>9780203960875</v>
      </c>
      <c r="E68" t="s">
        <v>19</v>
      </c>
      <c r="F68" t="s">
        <v>20</v>
      </c>
      <c r="G68" s="1">
        <v>39350</v>
      </c>
      <c r="H68" s="1">
        <v>39475</v>
      </c>
      <c r="I68">
        <v>1</v>
      </c>
      <c r="K68" t="s">
        <v>910</v>
      </c>
      <c r="L68" t="s">
        <v>35</v>
      </c>
      <c r="M68" t="s">
        <v>911</v>
      </c>
      <c r="N68">
        <v>492.7321</v>
      </c>
      <c r="O68" t="s">
        <v>912</v>
      </c>
      <c r="P68" t="s">
        <v>913</v>
      </c>
    </row>
    <row r="69" spans="1:16" x14ac:dyDescent="0.35">
      <c r="A69">
        <v>324967</v>
      </c>
      <c r="B69" t="s">
        <v>914</v>
      </c>
      <c r="C69" t="str">
        <f>"9780415415378"</f>
        <v>9780415415378</v>
      </c>
      <c r="D69" t="str">
        <f>"9780203945667"</f>
        <v>9780203945667</v>
      </c>
      <c r="E69" t="s">
        <v>19</v>
      </c>
      <c r="F69" t="s">
        <v>20</v>
      </c>
      <c r="G69" s="1">
        <v>39385</v>
      </c>
      <c r="H69" s="1">
        <v>39470</v>
      </c>
      <c r="I69">
        <v>1</v>
      </c>
      <c r="K69" t="s">
        <v>915</v>
      </c>
      <c r="L69" t="s">
        <v>61</v>
      </c>
      <c r="M69" t="s">
        <v>916</v>
      </c>
      <c r="N69">
        <v>720.1</v>
      </c>
      <c r="O69" t="s">
        <v>917</v>
      </c>
      <c r="P69" t="s">
        <v>918</v>
      </c>
    </row>
    <row r="70" spans="1:16" x14ac:dyDescent="0.35">
      <c r="A70">
        <v>325056</v>
      </c>
      <c r="B70" t="s">
        <v>919</v>
      </c>
      <c r="C70" t="str">
        <f>"9780415423649"</f>
        <v>9780415423649</v>
      </c>
      <c r="D70" t="str">
        <f>"9780203934401"</f>
        <v>9780203934401</v>
      </c>
      <c r="E70" t="s">
        <v>19</v>
      </c>
      <c r="F70" t="s">
        <v>20</v>
      </c>
      <c r="G70" s="1">
        <v>39401</v>
      </c>
      <c r="H70" s="1">
        <v>39475</v>
      </c>
      <c r="I70">
        <v>1</v>
      </c>
      <c r="K70" t="s">
        <v>920</v>
      </c>
      <c r="L70" t="s">
        <v>219</v>
      </c>
      <c r="M70" t="s">
        <v>921</v>
      </c>
      <c r="N70" t="s">
        <v>922</v>
      </c>
      <c r="O70" t="s">
        <v>923</v>
      </c>
      <c r="P70" t="s">
        <v>924</v>
      </c>
    </row>
    <row r="71" spans="1:16" x14ac:dyDescent="0.35">
      <c r="A71">
        <v>325107</v>
      </c>
      <c r="B71" t="s">
        <v>925</v>
      </c>
      <c r="C71" t="str">
        <f>"9780415358712"</f>
        <v>9780415358712</v>
      </c>
      <c r="D71" t="str">
        <f>"9780203006634"</f>
        <v>9780203006634</v>
      </c>
      <c r="E71" t="s">
        <v>19</v>
      </c>
      <c r="F71" t="s">
        <v>20</v>
      </c>
      <c r="G71" s="1">
        <v>39433</v>
      </c>
      <c r="H71" s="1">
        <v>39471</v>
      </c>
      <c r="I71">
        <v>1</v>
      </c>
      <c r="K71" t="s">
        <v>926</v>
      </c>
      <c r="L71" t="s">
        <v>38</v>
      </c>
      <c r="M71" t="s">
        <v>927</v>
      </c>
      <c r="N71">
        <v>306.44</v>
      </c>
      <c r="O71" t="s">
        <v>928</v>
      </c>
      <c r="P71" t="s">
        <v>929</v>
      </c>
    </row>
    <row r="72" spans="1:16" x14ac:dyDescent="0.35">
      <c r="A72">
        <v>325117</v>
      </c>
      <c r="B72" t="s">
        <v>930</v>
      </c>
      <c r="C72" t="str">
        <f>"9780415774307"</f>
        <v>9780415774307</v>
      </c>
      <c r="D72" t="str">
        <f>"9780203030622"</f>
        <v>9780203030622</v>
      </c>
      <c r="E72" t="s">
        <v>19</v>
      </c>
      <c r="F72" t="s">
        <v>20</v>
      </c>
      <c r="G72" s="1">
        <v>39430</v>
      </c>
      <c r="H72" s="1">
        <v>39475</v>
      </c>
      <c r="I72">
        <v>1</v>
      </c>
      <c r="K72" t="s">
        <v>931</v>
      </c>
      <c r="L72" t="s">
        <v>27</v>
      </c>
      <c r="M72" t="s">
        <v>932</v>
      </c>
      <c r="N72">
        <v>791.43683999999996</v>
      </c>
      <c r="O72" t="s">
        <v>933</v>
      </c>
      <c r="P72" t="s">
        <v>934</v>
      </c>
    </row>
    <row r="73" spans="1:16" x14ac:dyDescent="0.35">
      <c r="A73">
        <v>325156</v>
      </c>
      <c r="B73" t="s">
        <v>935</v>
      </c>
      <c r="C73" t="str">
        <f>"9780415427562"</f>
        <v>9780415427562</v>
      </c>
      <c r="D73" t="str">
        <f>"9780203933695"</f>
        <v>9780203933695</v>
      </c>
      <c r="E73" t="s">
        <v>19</v>
      </c>
      <c r="F73" t="s">
        <v>20</v>
      </c>
      <c r="G73" s="1">
        <v>39441</v>
      </c>
      <c r="H73" s="1">
        <v>39471</v>
      </c>
      <c r="I73">
        <v>1</v>
      </c>
      <c r="J73" t="s">
        <v>155</v>
      </c>
      <c r="K73" t="s">
        <v>936</v>
      </c>
      <c r="L73" t="s">
        <v>219</v>
      </c>
      <c r="M73" t="s">
        <v>937</v>
      </c>
      <c r="N73" t="s">
        <v>156</v>
      </c>
      <c r="O73" t="s">
        <v>75</v>
      </c>
      <c r="P73" t="s">
        <v>938</v>
      </c>
    </row>
    <row r="74" spans="1:16" x14ac:dyDescent="0.35">
      <c r="A74">
        <v>325202</v>
      </c>
      <c r="B74" t="s">
        <v>939</v>
      </c>
      <c r="C74" t="str">
        <f>"9780415437325"</f>
        <v>9780415437325</v>
      </c>
      <c r="D74" t="str">
        <f>"9780203946213"</f>
        <v>9780203946213</v>
      </c>
      <c r="E74" t="s">
        <v>19</v>
      </c>
      <c r="F74" t="s">
        <v>20</v>
      </c>
      <c r="G74" s="1">
        <v>39441</v>
      </c>
      <c r="H74" s="1">
        <v>39475</v>
      </c>
      <c r="I74">
        <v>1</v>
      </c>
      <c r="J74" t="s">
        <v>385</v>
      </c>
      <c r="K74" t="s">
        <v>940</v>
      </c>
      <c r="L74" t="s">
        <v>24</v>
      </c>
      <c r="M74" t="s">
        <v>941</v>
      </c>
      <c r="N74" t="s">
        <v>942</v>
      </c>
      <c r="O74" t="s">
        <v>943</v>
      </c>
      <c r="P74" t="s">
        <v>944</v>
      </c>
    </row>
    <row r="75" spans="1:16" x14ac:dyDescent="0.35">
      <c r="A75">
        <v>325208</v>
      </c>
      <c r="B75" t="s">
        <v>945</v>
      </c>
      <c r="C75" t="str">
        <f>"9780415362498"</f>
        <v>9780415362498</v>
      </c>
      <c r="D75" t="str">
        <f>"9780203012826"</f>
        <v>9780203012826</v>
      </c>
      <c r="E75" t="s">
        <v>19</v>
      </c>
      <c r="F75" t="s">
        <v>20</v>
      </c>
      <c r="G75" s="1">
        <v>39400</v>
      </c>
      <c r="H75" s="1">
        <v>39471</v>
      </c>
      <c r="I75">
        <v>1</v>
      </c>
      <c r="K75" t="s">
        <v>946</v>
      </c>
      <c r="L75" t="s">
        <v>27</v>
      </c>
      <c r="M75" t="s">
        <v>947</v>
      </c>
      <c r="N75">
        <v>792.02800000000002</v>
      </c>
      <c r="O75" t="s">
        <v>948</v>
      </c>
      <c r="P75" t="s">
        <v>949</v>
      </c>
    </row>
    <row r="76" spans="1:16" x14ac:dyDescent="0.35">
      <c r="A76">
        <v>325222</v>
      </c>
      <c r="B76" t="s">
        <v>950</v>
      </c>
      <c r="C76" t="str">
        <f>"9780415378321"</f>
        <v>9780415378321</v>
      </c>
      <c r="D76" t="str">
        <f>"9780203939109"</f>
        <v>9780203939109</v>
      </c>
      <c r="E76" t="s">
        <v>19</v>
      </c>
      <c r="F76" t="s">
        <v>20</v>
      </c>
      <c r="G76" s="1">
        <v>39414</v>
      </c>
      <c r="H76" s="1">
        <v>39471</v>
      </c>
      <c r="I76">
        <v>1</v>
      </c>
      <c r="J76" t="s">
        <v>109</v>
      </c>
      <c r="K76" t="s">
        <v>951</v>
      </c>
      <c r="L76" t="s">
        <v>22</v>
      </c>
      <c r="M76" t="s">
        <v>952</v>
      </c>
      <c r="N76" t="s">
        <v>107</v>
      </c>
      <c r="O76" t="s">
        <v>953</v>
      </c>
      <c r="P76" t="s">
        <v>954</v>
      </c>
    </row>
    <row r="77" spans="1:16" x14ac:dyDescent="0.35">
      <c r="A77">
        <v>325234</v>
      </c>
      <c r="B77" t="s">
        <v>955</v>
      </c>
      <c r="C77" t="str">
        <f>"9780415429306"</f>
        <v>9780415429306</v>
      </c>
      <c r="D77" t="str">
        <f>"9780203939581"</f>
        <v>9780203939581</v>
      </c>
      <c r="E77" t="s">
        <v>19</v>
      </c>
      <c r="F77" t="s">
        <v>20</v>
      </c>
      <c r="G77" s="1">
        <v>39370</v>
      </c>
      <c r="H77" s="1">
        <v>39475</v>
      </c>
      <c r="I77">
        <v>3</v>
      </c>
      <c r="K77" t="s">
        <v>244</v>
      </c>
      <c r="L77" t="s">
        <v>287</v>
      </c>
      <c r="M77" t="s">
        <v>956</v>
      </c>
      <c r="N77">
        <v>338.47910000000002</v>
      </c>
      <c r="O77" t="s">
        <v>345</v>
      </c>
      <c r="P77" t="s">
        <v>957</v>
      </c>
    </row>
    <row r="78" spans="1:16" x14ac:dyDescent="0.35">
      <c r="A78">
        <v>325269</v>
      </c>
      <c r="B78" t="s">
        <v>958</v>
      </c>
      <c r="C78" t="str">
        <f>"9780415426640"</f>
        <v>9780415426640</v>
      </c>
      <c r="D78" t="str">
        <f>"9780203937983"</f>
        <v>9780203937983</v>
      </c>
      <c r="E78" t="s">
        <v>20</v>
      </c>
      <c r="F78" t="s">
        <v>20</v>
      </c>
      <c r="G78" s="1">
        <v>41773</v>
      </c>
      <c r="H78" s="1">
        <v>39485</v>
      </c>
      <c r="I78">
        <v>1</v>
      </c>
      <c r="K78" t="s">
        <v>959</v>
      </c>
      <c r="L78" t="s">
        <v>103</v>
      </c>
      <c r="M78" t="s">
        <v>960</v>
      </c>
      <c r="N78">
        <v>306.483</v>
      </c>
      <c r="O78" t="s">
        <v>961</v>
      </c>
      <c r="P78" t="s">
        <v>962</v>
      </c>
    </row>
    <row r="79" spans="1:16" x14ac:dyDescent="0.35">
      <c r="A79">
        <v>325280</v>
      </c>
      <c r="B79" t="s">
        <v>963</v>
      </c>
      <c r="C79" t="str">
        <f>"9780415437615"</f>
        <v>9780415437615</v>
      </c>
      <c r="D79" t="str">
        <f>"9780203935965"</f>
        <v>9780203935965</v>
      </c>
      <c r="E79" t="s">
        <v>20</v>
      </c>
      <c r="F79" t="s">
        <v>20</v>
      </c>
      <c r="G79" s="1">
        <v>39412</v>
      </c>
      <c r="H79" s="1">
        <v>39471</v>
      </c>
      <c r="I79">
        <v>1</v>
      </c>
      <c r="K79" t="s">
        <v>964</v>
      </c>
      <c r="L79" t="s">
        <v>28</v>
      </c>
      <c r="M79" t="s">
        <v>965</v>
      </c>
      <c r="N79" t="s">
        <v>349</v>
      </c>
      <c r="O79" t="s">
        <v>543</v>
      </c>
      <c r="P79" t="s">
        <v>966</v>
      </c>
    </row>
    <row r="80" spans="1:16" x14ac:dyDescent="0.35">
      <c r="A80">
        <v>325350</v>
      </c>
      <c r="B80" t="s">
        <v>967</v>
      </c>
      <c r="C80" t="str">
        <f>"9780415960533"</f>
        <v>9780415960533</v>
      </c>
      <c r="D80" t="str">
        <f>"9780203929834"</f>
        <v>9780203929834</v>
      </c>
      <c r="E80" t="s">
        <v>19</v>
      </c>
      <c r="F80" t="s">
        <v>20</v>
      </c>
      <c r="G80" s="1">
        <v>39433</v>
      </c>
      <c r="H80" s="1">
        <v>39471</v>
      </c>
      <c r="I80">
        <v>1</v>
      </c>
      <c r="J80" t="s">
        <v>968</v>
      </c>
      <c r="K80" t="s">
        <v>969</v>
      </c>
      <c r="L80" t="s">
        <v>27</v>
      </c>
      <c r="M80" t="s">
        <v>970</v>
      </c>
      <c r="N80">
        <v>704.94359999999995</v>
      </c>
      <c r="O80" t="s">
        <v>971</v>
      </c>
      <c r="P80" t="s">
        <v>972</v>
      </c>
    </row>
    <row r="81" spans="1:16" x14ac:dyDescent="0.35">
      <c r="A81">
        <v>325372</v>
      </c>
      <c r="B81" t="s">
        <v>973</v>
      </c>
      <c r="C81" t="str">
        <f>"9780415373531"</f>
        <v>9780415373531</v>
      </c>
      <c r="D81" t="str">
        <f>"9780203934487"</f>
        <v>9780203934487</v>
      </c>
      <c r="E81" t="s">
        <v>19</v>
      </c>
      <c r="F81" t="s">
        <v>43</v>
      </c>
      <c r="G81" s="1">
        <v>39407</v>
      </c>
      <c r="H81" s="1">
        <v>39471</v>
      </c>
      <c r="I81">
        <v>2</v>
      </c>
      <c r="K81" t="s">
        <v>974</v>
      </c>
      <c r="L81" t="s">
        <v>25</v>
      </c>
      <c r="M81" t="s">
        <v>975</v>
      </c>
      <c r="N81">
        <v>152.4</v>
      </c>
      <c r="O81" t="s">
        <v>976</v>
      </c>
      <c r="P81" t="s">
        <v>977</v>
      </c>
    </row>
    <row r="82" spans="1:16" x14ac:dyDescent="0.35">
      <c r="A82">
        <v>325387</v>
      </c>
      <c r="B82" t="s">
        <v>978</v>
      </c>
      <c r="C82" t="str">
        <f>"9780415957038"</f>
        <v>9780415957038</v>
      </c>
      <c r="D82" t="str">
        <f>"9780203941492"</f>
        <v>9780203941492</v>
      </c>
      <c r="E82" t="s">
        <v>19</v>
      </c>
      <c r="F82" t="s">
        <v>20</v>
      </c>
      <c r="G82" s="1">
        <v>39197</v>
      </c>
      <c r="H82" s="1">
        <v>39471</v>
      </c>
      <c r="I82">
        <v>1</v>
      </c>
      <c r="J82" t="s">
        <v>979</v>
      </c>
      <c r="K82" t="s">
        <v>980</v>
      </c>
      <c r="L82" t="s">
        <v>45</v>
      </c>
      <c r="M82" t="s">
        <v>981</v>
      </c>
      <c r="N82">
        <v>302.2308997458</v>
      </c>
      <c r="O82" t="s">
        <v>982</v>
      </c>
      <c r="P82" t="s">
        <v>983</v>
      </c>
    </row>
    <row r="83" spans="1:16" x14ac:dyDescent="0.35">
      <c r="A83">
        <v>325408</v>
      </c>
      <c r="B83" t="s">
        <v>984</v>
      </c>
      <c r="C83" t="str">
        <f>"9780415403580"</f>
        <v>9780415403580</v>
      </c>
      <c r="D83" t="str">
        <f>"9780203940174"</f>
        <v>9780203940174</v>
      </c>
      <c r="E83" t="s">
        <v>57</v>
      </c>
      <c r="F83" t="s">
        <v>60</v>
      </c>
      <c r="G83" s="1">
        <v>39477</v>
      </c>
      <c r="H83" s="1">
        <v>39475</v>
      </c>
      <c r="I83">
        <v>1</v>
      </c>
      <c r="J83" t="s">
        <v>281</v>
      </c>
      <c r="K83" t="s">
        <v>985</v>
      </c>
      <c r="L83" t="s">
        <v>61</v>
      </c>
      <c r="M83" t="s">
        <v>986</v>
      </c>
      <c r="N83">
        <v>721</v>
      </c>
      <c r="O83" t="s">
        <v>987</v>
      </c>
      <c r="P83" t="s">
        <v>988</v>
      </c>
    </row>
    <row r="84" spans="1:16" x14ac:dyDescent="0.35">
      <c r="A84">
        <v>325479</v>
      </c>
      <c r="B84" t="s">
        <v>989</v>
      </c>
      <c r="C84" t="str">
        <f>"9780415956352"</f>
        <v>9780415956352</v>
      </c>
      <c r="D84" t="str">
        <f>"9780203937846"</f>
        <v>9780203937846</v>
      </c>
      <c r="E84" t="s">
        <v>19</v>
      </c>
      <c r="F84" t="s">
        <v>20</v>
      </c>
      <c r="G84" s="1">
        <v>39399</v>
      </c>
      <c r="H84" s="1">
        <v>39476</v>
      </c>
      <c r="I84">
        <v>1</v>
      </c>
      <c r="J84" t="s">
        <v>207</v>
      </c>
      <c r="K84" t="s">
        <v>990</v>
      </c>
      <c r="L84" t="s">
        <v>27</v>
      </c>
      <c r="M84" t="s">
        <v>991</v>
      </c>
      <c r="N84">
        <v>791.43097299999999</v>
      </c>
      <c r="O84" t="s">
        <v>992</v>
      </c>
      <c r="P84" t="s">
        <v>993</v>
      </c>
    </row>
    <row r="85" spans="1:16" x14ac:dyDescent="0.35">
      <c r="A85">
        <v>325505</v>
      </c>
      <c r="B85" t="s">
        <v>994</v>
      </c>
      <c r="C85" t="str">
        <f>"9780415452656"</f>
        <v>9780415452656</v>
      </c>
      <c r="D85" t="str">
        <f>"9780203938751"</f>
        <v>9780203938751</v>
      </c>
      <c r="E85" t="s">
        <v>19</v>
      </c>
      <c r="F85" t="s">
        <v>20</v>
      </c>
      <c r="G85" s="1">
        <v>39526</v>
      </c>
      <c r="H85" s="1">
        <v>39473</v>
      </c>
      <c r="I85">
        <v>1</v>
      </c>
      <c r="K85" t="s">
        <v>995</v>
      </c>
      <c r="L85" t="s">
        <v>47</v>
      </c>
      <c r="M85" t="s">
        <v>996</v>
      </c>
      <c r="N85">
        <v>808.06650000000002</v>
      </c>
      <c r="O85" t="s">
        <v>997</v>
      </c>
      <c r="P85" t="s">
        <v>998</v>
      </c>
    </row>
    <row r="86" spans="1:16" x14ac:dyDescent="0.35">
      <c r="A86">
        <v>325509</v>
      </c>
      <c r="B86" t="s">
        <v>999</v>
      </c>
      <c r="C86" t="str">
        <f>"9780415422239"</f>
        <v>9780415422239</v>
      </c>
      <c r="D86" t="str">
        <f>"9780203936153"</f>
        <v>9780203936153</v>
      </c>
      <c r="E86" t="s">
        <v>19</v>
      </c>
      <c r="F86" t="s">
        <v>20</v>
      </c>
      <c r="G86" s="1">
        <v>39457</v>
      </c>
      <c r="H86" s="1">
        <v>39520</v>
      </c>
      <c r="I86">
        <v>1</v>
      </c>
      <c r="K86" t="s">
        <v>1000</v>
      </c>
      <c r="L86" t="s">
        <v>27</v>
      </c>
      <c r="M86" t="s">
        <v>1001</v>
      </c>
      <c r="N86" t="s">
        <v>390</v>
      </c>
      <c r="O86" t="s">
        <v>1002</v>
      </c>
      <c r="P86" t="s">
        <v>1003</v>
      </c>
    </row>
    <row r="87" spans="1:16" x14ac:dyDescent="0.35">
      <c r="A87">
        <v>325524</v>
      </c>
      <c r="B87" t="s">
        <v>1004</v>
      </c>
      <c r="C87" t="str">
        <f>"9780415379359"</f>
        <v>9780415379359</v>
      </c>
      <c r="D87" t="str">
        <f>"9780203937525"</f>
        <v>9780203937525</v>
      </c>
      <c r="E87" t="s">
        <v>19</v>
      </c>
      <c r="F87" t="s">
        <v>20</v>
      </c>
      <c r="G87" s="1">
        <v>39436</v>
      </c>
      <c r="H87" s="1">
        <v>39475</v>
      </c>
      <c r="I87">
        <v>1</v>
      </c>
      <c r="J87" t="s">
        <v>221</v>
      </c>
      <c r="K87" t="s">
        <v>1005</v>
      </c>
      <c r="L87" t="s">
        <v>52</v>
      </c>
      <c r="M87" t="s">
        <v>1006</v>
      </c>
      <c r="N87">
        <v>69.150000000000006</v>
      </c>
      <c r="O87" t="s">
        <v>1007</v>
      </c>
      <c r="P87" t="s">
        <v>1008</v>
      </c>
    </row>
    <row r="88" spans="1:16" x14ac:dyDescent="0.35">
      <c r="A88">
        <v>327280</v>
      </c>
      <c r="B88" t="s">
        <v>1009</v>
      </c>
      <c r="C88" t="str">
        <f>"9780415434836"</f>
        <v>9780415434836</v>
      </c>
      <c r="D88" t="str">
        <f>"9780203946428"</f>
        <v>9780203946428</v>
      </c>
      <c r="E88" t="s">
        <v>19</v>
      </c>
      <c r="F88" t="s">
        <v>20</v>
      </c>
      <c r="G88" s="1">
        <v>39497</v>
      </c>
      <c r="H88" s="1">
        <v>39654</v>
      </c>
      <c r="I88">
        <v>1</v>
      </c>
      <c r="K88" t="s">
        <v>1010</v>
      </c>
      <c r="L88" t="s">
        <v>41</v>
      </c>
      <c r="M88" t="s">
        <v>1011</v>
      </c>
      <c r="N88" t="s">
        <v>131</v>
      </c>
      <c r="O88" t="s">
        <v>1012</v>
      </c>
      <c r="P88" t="s">
        <v>1013</v>
      </c>
    </row>
    <row r="89" spans="1:16" x14ac:dyDescent="0.35">
      <c r="A89">
        <v>327289</v>
      </c>
      <c r="B89" t="s">
        <v>1014</v>
      </c>
      <c r="C89" t="str">
        <f>"9780415427241"</f>
        <v>9780415427241</v>
      </c>
      <c r="D89" t="str">
        <f>"9780203932131"</f>
        <v>9780203932131</v>
      </c>
      <c r="E89" t="s">
        <v>19</v>
      </c>
      <c r="F89" t="s">
        <v>20</v>
      </c>
      <c r="G89" s="1">
        <v>39563</v>
      </c>
      <c r="H89" s="1">
        <v>39520</v>
      </c>
      <c r="I89">
        <v>1</v>
      </c>
      <c r="J89" t="s">
        <v>1015</v>
      </c>
      <c r="K89" t="s">
        <v>1016</v>
      </c>
      <c r="L89" t="s">
        <v>37</v>
      </c>
      <c r="M89" t="s">
        <v>1017</v>
      </c>
      <c r="N89" t="s">
        <v>1018</v>
      </c>
      <c r="O89" t="s">
        <v>1019</v>
      </c>
      <c r="P89" t="s">
        <v>1020</v>
      </c>
    </row>
    <row r="90" spans="1:16" x14ac:dyDescent="0.35">
      <c r="A90">
        <v>327292</v>
      </c>
      <c r="B90" t="s">
        <v>1021</v>
      </c>
      <c r="C90" t="str">
        <f>"9780415424301"</f>
        <v>9780415424301</v>
      </c>
      <c r="D90" t="str">
        <f>"9780203931035"</f>
        <v>9780203931035</v>
      </c>
      <c r="E90" t="s">
        <v>19</v>
      </c>
      <c r="F90" t="s">
        <v>20</v>
      </c>
      <c r="G90" s="1">
        <v>39531</v>
      </c>
      <c r="H90" s="1">
        <v>39520</v>
      </c>
      <c r="I90">
        <v>1</v>
      </c>
      <c r="J90" t="s">
        <v>1022</v>
      </c>
      <c r="K90" t="s">
        <v>1023</v>
      </c>
      <c r="L90" t="s">
        <v>41</v>
      </c>
      <c r="M90" t="s">
        <v>1024</v>
      </c>
      <c r="N90" t="s">
        <v>156</v>
      </c>
      <c r="O90" t="s">
        <v>1025</v>
      </c>
      <c r="P90" t="s">
        <v>1026</v>
      </c>
    </row>
    <row r="91" spans="1:16" x14ac:dyDescent="0.35">
      <c r="A91">
        <v>327301</v>
      </c>
      <c r="B91" t="s">
        <v>1027</v>
      </c>
      <c r="C91" t="str">
        <f>"9780415414043"</f>
        <v>9780415414043</v>
      </c>
      <c r="D91" t="str">
        <f>"9780203938430"</f>
        <v>9780203938430</v>
      </c>
      <c r="E91" t="s">
        <v>20</v>
      </c>
      <c r="F91" t="s">
        <v>20</v>
      </c>
      <c r="G91" s="1">
        <v>39517</v>
      </c>
      <c r="H91" s="1">
        <v>39520</v>
      </c>
      <c r="I91">
        <v>1</v>
      </c>
      <c r="J91" t="s">
        <v>155</v>
      </c>
      <c r="K91" t="s">
        <v>1028</v>
      </c>
      <c r="L91" t="s">
        <v>192</v>
      </c>
      <c r="M91" t="s">
        <v>1029</v>
      </c>
      <c r="N91">
        <v>338.47910000000002</v>
      </c>
      <c r="O91" t="s">
        <v>1030</v>
      </c>
      <c r="P91" t="s">
        <v>1031</v>
      </c>
    </row>
    <row r="92" spans="1:16" x14ac:dyDescent="0.35">
      <c r="A92">
        <v>327304</v>
      </c>
      <c r="B92" t="s">
        <v>1032</v>
      </c>
      <c r="C92" t="str">
        <f>"9780805853513"</f>
        <v>9780805853513</v>
      </c>
      <c r="D92" t="str">
        <f>"9780203938560"</f>
        <v>9780203938560</v>
      </c>
      <c r="E92" t="s">
        <v>19</v>
      </c>
      <c r="F92" t="s">
        <v>20</v>
      </c>
      <c r="G92" s="1">
        <v>39503</v>
      </c>
      <c r="H92" s="1">
        <v>39520</v>
      </c>
      <c r="I92">
        <v>1</v>
      </c>
      <c r="K92" t="s">
        <v>1033</v>
      </c>
      <c r="L92" t="s">
        <v>35</v>
      </c>
      <c r="M92" t="s">
        <v>1034</v>
      </c>
      <c r="N92">
        <v>410</v>
      </c>
      <c r="O92" t="s">
        <v>295</v>
      </c>
      <c r="P92" t="s">
        <v>1035</v>
      </c>
    </row>
    <row r="93" spans="1:16" x14ac:dyDescent="0.35">
      <c r="A93">
        <v>327332</v>
      </c>
      <c r="B93" t="s">
        <v>1036</v>
      </c>
      <c r="C93" t="str">
        <f>"9780415418737"</f>
        <v>9780415418737</v>
      </c>
      <c r="D93" t="str">
        <f>"9780203931950"</f>
        <v>9780203931950</v>
      </c>
      <c r="E93" t="s">
        <v>20</v>
      </c>
      <c r="F93" t="s">
        <v>20</v>
      </c>
      <c r="G93" s="1">
        <v>39510</v>
      </c>
      <c r="H93" s="1">
        <v>39520</v>
      </c>
      <c r="I93">
        <v>1</v>
      </c>
      <c r="K93" t="s">
        <v>1037</v>
      </c>
      <c r="L93" t="s">
        <v>257</v>
      </c>
      <c r="M93" t="s">
        <v>1038</v>
      </c>
      <c r="N93">
        <v>304.2</v>
      </c>
      <c r="O93" t="s">
        <v>431</v>
      </c>
      <c r="P93" t="s">
        <v>1039</v>
      </c>
    </row>
    <row r="94" spans="1:16" x14ac:dyDescent="0.35">
      <c r="A94">
        <v>327335</v>
      </c>
      <c r="B94" t="s">
        <v>1040</v>
      </c>
      <c r="C94" t="str">
        <f>"9780415405553"</f>
        <v>9780415405553</v>
      </c>
      <c r="D94" t="str">
        <f>"9780203938027"</f>
        <v>9780203938027</v>
      </c>
      <c r="E94" t="s">
        <v>19</v>
      </c>
      <c r="F94" t="s">
        <v>20</v>
      </c>
      <c r="G94" s="1">
        <v>39508</v>
      </c>
      <c r="H94" s="1">
        <v>39520</v>
      </c>
      <c r="I94">
        <v>1</v>
      </c>
      <c r="J94" t="s">
        <v>1041</v>
      </c>
      <c r="K94" t="s">
        <v>1042</v>
      </c>
      <c r="L94" t="s">
        <v>194</v>
      </c>
      <c r="M94" t="s">
        <v>1043</v>
      </c>
      <c r="N94">
        <v>306.48190950917302</v>
      </c>
      <c r="O94" t="s">
        <v>1044</v>
      </c>
      <c r="P94" t="s">
        <v>1045</v>
      </c>
    </row>
    <row r="95" spans="1:16" x14ac:dyDescent="0.35">
      <c r="A95">
        <v>327343</v>
      </c>
      <c r="B95" t="s">
        <v>1046</v>
      </c>
      <c r="C95" t="str">
        <f>"9780415451420"</f>
        <v>9780415451420</v>
      </c>
      <c r="D95" t="str">
        <f>"9780203932551"</f>
        <v>9780203932551</v>
      </c>
      <c r="E95" t="s">
        <v>19</v>
      </c>
      <c r="F95" t="s">
        <v>20</v>
      </c>
      <c r="G95" s="1">
        <v>39504</v>
      </c>
      <c r="H95" s="1">
        <v>39520</v>
      </c>
      <c r="I95">
        <v>1</v>
      </c>
      <c r="J95" t="s">
        <v>98</v>
      </c>
      <c r="K95" t="s">
        <v>1047</v>
      </c>
      <c r="L95" t="s">
        <v>21</v>
      </c>
      <c r="M95" t="s">
        <v>1048</v>
      </c>
      <c r="N95" t="s">
        <v>1049</v>
      </c>
      <c r="O95" t="s">
        <v>1050</v>
      </c>
      <c r="P95" t="s">
        <v>1051</v>
      </c>
    </row>
    <row r="96" spans="1:16" x14ac:dyDescent="0.35">
      <c r="A96">
        <v>330975</v>
      </c>
      <c r="B96" t="s">
        <v>1052</v>
      </c>
      <c r="C96" t="str">
        <f>"9780415437783"</f>
        <v>9780415437783</v>
      </c>
      <c r="D96" t="str">
        <f>"9780203946022"</f>
        <v>9780203946022</v>
      </c>
      <c r="E96" t="s">
        <v>19</v>
      </c>
      <c r="F96" t="s">
        <v>20</v>
      </c>
      <c r="G96" s="1">
        <v>39532</v>
      </c>
      <c r="H96" s="1">
        <v>39520</v>
      </c>
      <c r="I96">
        <v>1</v>
      </c>
      <c r="J96" t="s">
        <v>1053</v>
      </c>
      <c r="K96" t="s">
        <v>1054</v>
      </c>
      <c r="L96" t="s">
        <v>24</v>
      </c>
      <c r="M96" t="s">
        <v>1055</v>
      </c>
      <c r="N96" t="s">
        <v>1056</v>
      </c>
      <c r="O96" t="s">
        <v>1057</v>
      </c>
      <c r="P96" t="s">
        <v>1058</v>
      </c>
    </row>
    <row r="97" spans="1:16" x14ac:dyDescent="0.35">
      <c r="A97">
        <v>330978</v>
      </c>
      <c r="B97" t="s">
        <v>1059</v>
      </c>
      <c r="C97" t="str">
        <f>"9780415428743"</f>
        <v>9780415428743</v>
      </c>
      <c r="D97" t="str">
        <f>"9780203930670"</f>
        <v>9780203930670</v>
      </c>
      <c r="E97" t="s">
        <v>19</v>
      </c>
      <c r="F97" t="s">
        <v>20</v>
      </c>
      <c r="G97" s="1">
        <v>39566</v>
      </c>
      <c r="H97" s="1">
        <v>41877</v>
      </c>
      <c r="I97">
        <v>1</v>
      </c>
      <c r="J97" t="s">
        <v>1060</v>
      </c>
      <c r="K97" t="s">
        <v>1061</v>
      </c>
      <c r="L97" t="s">
        <v>26</v>
      </c>
      <c r="M97" t="s">
        <v>1062</v>
      </c>
      <c r="N97">
        <v>338.6</v>
      </c>
      <c r="O97" t="s">
        <v>1063</v>
      </c>
      <c r="P97" t="s">
        <v>1064</v>
      </c>
    </row>
    <row r="98" spans="1:16" x14ac:dyDescent="0.35">
      <c r="A98">
        <v>330980</v>
      </c>
      <c r="B98" t="s">
        <v>1065</v>
      </c>
      <c r="C98" t="str">
        <f>"9780805860436"</f>
        <v>9780805860436</v>
      </c>
      <c r="D98" t="str">
        <f>"9780203932834"</f>
        <v>9780203932834</v>
      </c>
      <c r="E98" t="s">
        <v>19</v>
      </c>
      <c r="F98" t="s">
        <v>20</v>
      </c>
      <c r="G98" s="1">
        <v>39517</v>
      </c>
      <c r="H98" s="1">
        <v>39583</v>
      </c>
      <c r="I98">
        <v>1</v>
      </c>
      <c r="K98" t="s">
        <v>1066</v>
      </c>
      <c r="L98" t="s">
        <v>35</v>
      </c>
      <c r="M98" t="s">
        <v>1067</v>
      </c>
      <c r="N98">
        <v>428.00760000000002</v>
      </c>
      <c r="O98" t="s">
        <v>1068</v>
      </c>
      <c r="P98" t="s">
        <v>1069</v>
      </c>
    </row>
    <row r="99" spans="1:16" x14ac:dyDescent="0.35">
      <c r="A99">
        <v>330990</v>
      </c>
      <c r="B99" t="s">
        <v>1070</v>
      </c>
      <c r="C99" t="str">
        <f>"9780415364454"</f>
        <v>9780415364454</v>
      </c>
      <c r="D99" t="str">
        <f>"9780203015605"</f>
        <v>9780203015605</v>
      </c>
      <c r="E99" t="s">
        <v>20</v>
      </c>
      <c r="F99" t="s">
        <v>20</v>
      </c>
      <c r="G99" s="1">
        <v>39552</v>
      </c>
      <c r="H99" s="1">
        <v>39534</v>
      </c>
      <c r="I99">
        <v>1</v>
      </c>
      <c r="J99" t="s">
        <v>1071</v>
      </c>
      <c r="K99" t="s">
        <v>1072</v>
      </c>
      <c r="L99" t="s">
        <v>27</v>
      </c>
      <c r="M99" t="s">
        <v>1073</v>
      </c>
      <c r="N99">
        <v>791.43619999999999</v>
      </c>
      <c r="O99" t="s">
        <v>1074</v>
      </c>
      <c r="P99" t="s">
        <v>1075</v>
      </c>
    </row>
    <row r="100" spans="1:16" x14ac:dyDescent="0.35">
      <c r="A100">
        <v>331049</v>
      </c>
      <c r="B100" t="s">
        <v>1076</v>
      </c>
      <c r="C100" t="str">
        <f>"9780415958486"</f>
        <v>9780415958486</v>
      </c>
      <c r="D100" t="str">
        <f>"9780203929278"</f>
        <v>9780203929278</v>
      </c>
      <c r="E100" t="s">
        <v>19</v>
      </c>
      <c r="F100" t="s">
        <v>20</v>
      </c>
      <c r="G100" s="1">
        <v>39538</v>
      </c>
      <c r="H100" s="1">
        <v>39539</v>
      </c>
      <c r="I100">
        <v>1</v>
      </c>
      <c r="J100" t="s">
        <v>148</v>
      </c>
      <c r="K100" t="s">
        <v>1077</v>
      </c>
      <c r="L100" t="s">
        <v>24</v>
      </c>
      <c r="M100" t="s">
        <v>1078</v>
      </c>
      <c r="N100" t="s">
        <v>465</v>
      </c>
      <c r="O100" t="s">
        <v>1079</v>
      </c>
      <c r="P100" t="s">
        <v>1080</v>
      </c>
    </row>
    <row r="101" spans="1:16" x14ac:dyDescent="0.35">
      <c r="A101">
        <v>331057</v>
      </c>
      <c r="B101" t="s">
        <v>1081</v>
      </c>
      <c r="C101" t="str">
        <f>"9780415423380"</f>
        <v>9780415423380</v>
      </c>
      <c r="D101" t="str">
        <f>"9780203930533"</f>
        <v>9780203930533</v>
      </c>
      <c r="E101" t="s">
        <v>19</v>
      </c>
      <c r="F101" t="s">
        <v>20</v>
      </c>
      <c r="G101" s="1">
        <v>39582</v>
      </c>
      <c r="H101" s="1">
        <v>39566</v>
      </c>
      <c r="I101">
        <v>1</v>
      </c>
      <c r="K101" t="s">
        <v>1082</v>
      </c>
      <c r="L101" t="s">
        <v>41</v>
      </c>
      <c r="M101" t="s">
        <v>1083</v>
      </c>
      <c r="N101">
        <v>338.0641</v>
      </c>
      <c r="O101" t="s">
        <v>1084</v>
      </c>
      <c r="P101" t="s">
        <v>1085</v>
      </c>
    </row>
    <row r="102" spans="1:16" x14ac:dyDescent="0.35">
      <c r="A102">
        <v>332067</v>
      </c>
      <c r="B102" t="s">
        <v>1086</v>
      </c>
      <c r="C102" t="str">
        <f>"9780415416832"</f>
        <v>9780415416832</v>
      </c>
      <c r="D102" t="str">
        <f>"9780203964576"</f>
        <v>9780203964576</v>
      </c>
      <c r="E102" t="s">
        <v>19</v>
      </c>
      <c r="F102" t="s">
        <v>20</v>
      </c>
      <c r="G102" s="1">
        <v>39541</v>
      </c>
      <c r="H102" s="1">
        <v>39566</v>
      </c>
      <c r="I102">
        <v>2</v>
      </c>
      <c r="K102" t="s">
        <v>1087</v>
      </c>
      <c r="L102" t="s">
        <v>38</v>
      </c>
      <c r="M102" t="s">
        <v>1088</v>
      </c>
      <c r="N102">
        <v>305.23072000000002</v>
      </c>
      <c r="O102" t="s">
        <v>1089</v>
      </c>
      <c r="P102" t="s">
        <v>1090</v>
      </c>
    </row>
    <row r="103" spans="1:16" x14ac:dyDescent="0.35">
      <c r="A103">
        <v>332071</v>
      </c>
      <c r="B103" t="s">
        <v>1091</v>
      </c>
      <c r="C103" t="str">
        <f>"9780415988858"</f>
        <v>9780415988858</v>
      </c>
      <c r="D103" t="str">
        <f>"9780203928752"</f>
        <v>9780203928752</v>
      </c>
      <c r="E103" t="s">
        <v>19</v>
      </c>
      <c r="F103" t="s">
        <v>20</v>
      </c>
      <c r="G103" s="1">
        <v>39541</v>
      </c>
      <c r="H103" s="1">
        <v>39561</v>
      </c>
      <c r="I103">
        <v>1</v>
      </c>
      <c r="J103" t="s">
        <v>148</v>
      </c>
      <c r="K103" t="s">
        <v>1092</v>
      </c>
      <c r="L103" t="s">
        <v>24</v>
      </c>
      <c r="M103" t="s">
        <v>1093</v>
      </c>
      <c r="N103">
        <v>820.93550000000005</v>
      </c>
      <c r="O103" t="s">
        <v>1094</v>
      </c>
      <c r="P103" t="s">
        <v>1095</v>
      </c>
    </row>
    <row r="104" spans="1:16" x14ac:dyDescent="0.35">
      <c r="A104">
        <v>332072</v>
      </c>
      <c r="B104" t="s">
        <v>1096</v>
      </c>
      <c r="C104" t="str">
        <f>"9780415336567"</f>
        <v>9780415336567</v>
      </c>
      <c r="D104" t="str">
        <f>"9780203371015"</f>
        <v>9780203371015</v>
      </c>
      <c r="E104" t="s">
        <v>19</v>
      </c>
      <c r="F104" t="s">
        <v>20</v>
      </c>
      <c r="G104" s="1">
        <v>39514</v>
      </c>
      <c r="H104" s="1">
        <v>39566</v>
      </c>
      <c r="I104">
        <v>1</v>
      </c>
      <c r="J104" t="s">
        <v>221</v>
      </c>
      <c r="K104" t="s">
        <v>1097</v>
      </c>
      <c r="L104" t="s">
        <v>52</v>
      </c>
      <c r="M104" t="s">
        <v>1098</v>
      </c>
      <c r="N104">
        <v>69</v>
      </c>
      <c r="O104" t="s">
        <v>1099</v>
      </c>
      <c r="P104" t="s">
        <v>1100</v>
      </c>
    </row>
    <row r="105" spans="1:16" x14ac:dyDescent="0.35">
      <c r="A105">
        <v>332074</v>
      </c>
      <c r="B105" t="s">
        <v>1101</v>
      </c>
      <c r="C105" t="str">
        <f>"9780415958516"</f>
        <v>9780415958516</v>
      </c>
      <c r="D105" t="str">
        <f>"9780203928271"</f>
        <v>9780203928271</v>
      </c>
      <c r="E105" t="s">
        <v>19</v>
      </c>
      <c r="F105" t="s">
        <v>20</v>
      </c>
      <c r="G105" s="1">
        <v>39533</v>
      </c>
      <c r="H105" s="1">
        <v>39561</v>
      </c>
      <c r="I105">
        <v>1</v>
      </c>
      <c r="J105" t="s">
        <v>1102</v>
      </c>
      <c r="K105" t="s">
        <v>1103</v>
      </c>
      <c r="L105" t="s">
        <v>67</v>
      </c>
      <c r="M105" t="s">
        <v>1104</v>
      </c>
      <c r="N105">
        <v>174.2</v>
      </c>
      <c r="O105" t="s">
        <v>1105</v>
      </c>
      <c r="P105" t="s">
        <v>1106</v>
      </c>
    </row>
    <row r="106" spans="1:16" x14ac:dyDescent="0.35">
      <c r="A106">
        <v>332078</v>
      </c>
      <c r="B106" t="s">
        <v>1107</v>
      </c>
      <c r="C106" t="str">
        <f>"9780415453141"</f>
        <v>9780415453141</v>
      </c>
      <c r="D106" t="str">
        <f>"9780203929209"</f>
        <v>9780203929209</v>
      </c>
      <c r="E106" t="s">
        <v>19</v>
      </c>
      <c r="F106" t="s">
        <v>20</v>
      </c>
      <c r="G106" s="1">
        <v>39580</v>
      </c>
      <c r="H106" s="1">
        <v>39583</v>
      </c>
      <c r="I106">
        <v>1</v>
      </c>
      <c r="J106" t="s">
        <v>237</v>
      </c>
      <c r="K106" t="s">
        <v>1108</v>
      </c>
      <c r="L106" t="s">
        <v>83</v>
      </c>
      <c r="M106" t="s">
        <v>1109</v>
      </c>
      <c r="N106">
        <v>327.47050000000002</v>
      </c>
      <c r="O106" t="s">
        <v>1110</v>
      </c>
      <c r="P106" t="s">
        <v>1111</v>
      </c>
    </row>
    <row r="107" spans="1:16" x14ac:dyDescent="0.35">
      <c r="A107">
        <v>332086</v>
      </c>
      <c r="B107" t="s">
        <v>1112</v>
      </c>
      <c r="C107" t="str">
        <f>"9780415398091"</f>
        <v>9780415398091</v>
      </c>
      <c r="D107" t="str">
        <f>"9780203892299"</f>
        <v>9780203892299</v>
      </c>
      <c r="E107" t="s">
        <v>19</v>
      </c>
      <c r="F107" t="s">
        <v>20</v>
      </c>
      <c r="G107" s="1">
        <v>39444</v>
      </c>
      <c r="H107" s="1">
        <v>39583</v>
      </c>
      <c r="I107">
        <v>1</v>
      </c>
      <c r="K107" t="s">
        <v>1113</v>
      </c>
      <c r="L107" t="s">
        <v>35</v>
      </c>
      <c r="M107" t="s">
        <v>1114</v>
      </c>
      <c r="N107">
        <v>401.41</v>
      </c>
      <c r="O107" t="s">
        <v>88</v>
      </c>
      <c r="P107" t="s">
        <v>1115</v>
      </c>
    </row>
    <row r="108" spans="1:16" x14ac:dyDescent="0.35">
      <c r="A108">
        <v>332358</v>
      </c>
      <c r="B108" t="s">
        <v>1116</v>
      </c>
      <c r="C108" t="str">
        <f>"9780415409193"</f>
        <v>9780415409193</v>
      </c>
      <c r="D108" t="str">
        <f>"9780203931004"</f>
        <v>9780203931004</v>
      </c>
      <c r="E108" t="s">
        <v>19</v>
      </c>
      <c r="F108" t="s">
        <v>20</v>
      </c>
      <c r="G108" s="1">
        <v>39385</v>
      </c>
      <c r="H108" s="1">
        <v>39566</v>
      </c>
      <c r="I108">
        <v>1</v>
      </c>
      <c r="J108" t="s">
        <v>59</v>
      </c>
      <c r="K108" t="s">
        <v>1117</v>
      </c>
      <c r="L108" t="s">
        <v>24</v>
      </c>
      <c r="M108" t="s">
        <v>1118</v>
      </c>
      <c r="N108">
        <v>820.9</v>
      </c>
      <c r="O108" t="s">
        <v>1119</v>
      </c>
      <c r="P108" t="s">
        <v>1120</v>
      </c>
    </row>
    <row r="109" spans="1:16" x14ac:dyDescent="0.35">
      <c r="A109">
        <v>332376</v>
      </c>
      <c r="B109" t="s">
        <v>1121</v>
      </c>
      <c r="C109" t="str">
        <f>"9780415376419"</f>
        <v>9780415376419</v>
      </c>
      <c r="D109" t="str">
        <f>"9780203938256"</f>
        <v>9780203938256</v>
      </c>
      <c r="E109" t="s">
        <v>19</v>
      </c>
      <c r="F109" t="s">
        <v>20</v>
      </c>
      <c r="G109" s="1">
        <v>39154</v>
      </c>
      <c r="H109" s="1">
        <v>41877</v>
      </c>
      <c r="I109">
        <v>1</v>
      </c>
      <c r="J109" t="s">
        <v>1122</v>
      </c>
      <c r="K109" t="s">
        <v>1123</v>
      </c>
      <c r="L109" t="s">
        <v>36</v>
      </c>
      <c r="M109" t="s">
        <v>1124</v>
      </c>
      <c r="N109">
        <v>359.55094109033001</v>
      </c>
      <c r="O109" t="s">
        <v>1125</v>
      </c>
      <c r="P109" t="s">
        <v>1126</v>
      </c>
    </row>
    <row r="110" spans="1:16" x14ac:dyDescent="0.35">
      <c r="A110">
        <v>332388</v>
      </c>
      <c r="B110" t="s">
        <v>1127</v>
      </c>
      <c r="C110" t="str">
        <f>"9780415963886"</f>
        <v>9780415963886</v>
      </c>
      <c r="D110" t="str">
        <f>"9780203892985"</f>
        <v>9780203892985</v>
      </c>
      <c r="E110" t="s">
        <v>19</v>
      </c>
      <c r="F110" t="s">
        <v>20</v>
      </c>
      <c r="G110" s="1">
        <v>39538</v>
      </c>
      <c r="H110" s="1">
        <v>39561</v>
      </c>
      <c r="I110">
        <v>1</v>
      </c>
      <c r="K110" t="s">
        <v>1128</v>
      </c>
      <c r="L110" t="s">
        <v>30</v>
      </c>
      <c r="M110">
        <v>2007037876</v>
      </c>
      <c r="N110" t="s">
        <v>526</v>
      </c>
      <c r="O110" t="s">
        <v>1129</v>
      </c>
      <c r="P110" t="s">
        <v>1130</v>
      </c>
    </row>
    <row r="111" spans="1:16" x14ac:dyDescent="0.35">
      <c r="A111">
        <v>332391</v>
      </c>
      <c r="B111" t="s">
        <v>1131</v>
      </c>
      <c r="C111" t="str">
        <f>"9780415957519"</f>
        <v>9780415957519</v>
      </c>
      <c r="D111" t="str">
        <f>"9780203930007"</f>
        <v>9780203930007</v>
      </c>
      <c r="E111" t="s">
        <v>19</v>
      </c>
      <c r="F111" t="s">
        <v>20</v>
      </c>
      <c r="G111" s="1">
        <v>39546</v>
      </c>
      <c r="H111" s="1">
        <v>39561</v>
      </c>
      <c r="I111">
        <v>2</v>
      </c>
      <c r="J111" t="s">
        <v>150</v>
      </c>
      <c r="K111" t="s">
        <v>1132</v>
      </c>
      <c r="L111" t="s">
        <v>35</v>
      </c>
      <c r="M111" t="s">
        <v>1133</v>
      </c>
      <c r="N111">
        <v>401</v>
      </c>
      <c r="O111" t="s">
        <v>1134</v>
      </c>
      <c r="P111" t="s">
        <v>1135</v>
      </c>
    </row>
    <row r="112" spans="1:16" x14ac:dyDescent="0.35">
      <c r="A112">
        <v>332396</v>
      </c>
      <c r="B112" t="s">
        <v>1136</v>
      </c>
      <c r="C112" t="str">
        <f>"9780415426060"</f>
        <v>9780415426060</v>
      </c>
      <c r="D112" t="str">
        <f>"9780203927762"</f>
        <v>9780203927762</v>
      </c>
      <c r="E112" t="s">
        <v>19</v>
      </c>
      <c r="F112" t="s">
        <v>20</v>
      </c>
      <c r="G112" s="1">
        <v>39547</v>
      </c>
      <c r="H112" s="1">
        <v>39561</v>
      </c>
      <c r="I112">
        <v>1</v>
      </c>
      <c r="K112" t="s">
        <v>1137</v>
      </c>
      <c r="L112" t="s">
        <v>30</v>
      </c>
      <c r="M112" t="s">
        <v>1138</v>
      </c>
      <c r="N112" t="s">
        <v>204</v>
      </c>
      <c r="O112" t="s">
        <v>1139</v>
      </c>
      <c r="P112" t="s">
        <v>1140</v>
      </c>
    </row>
    <row r="113" spans="1:16" x14ac:dyDescent="0.35">
      <c r="A113">
        <v>334814</v>
      </c>
      <c r="B113" t="s">
        <v>1141</v>
      </c>
      <c r="C113" t="str">
        <f>"9780415989732"</f>
        <v>9780415989732</v>
      </c>
      <c r="D113" t="str">
        <f>"9780203895269"</f>
        <v>9780203895269</v>
      </c>
      <c r="E113" t="s">
        <v>19</v>
      </c>
      <c r="F113" t="s">
        <v>20</v>
      </c>
      <c r="G113" s="1">
        <v>39545</v>
      </c>
      <c r="H113" s="1">
        <v>39583</v>
      </c>
      <c r="I113">
        <v>1</v>
      </c>
      <c r="J113" t="s">
        <v>1142</v>
      </c>
      <c r="K113" t="s">
        <v>1143</v>
      </c>
      <c r="L113" t="s">
        <v>38</v>
      </c>
      <c r="M113" t="s">
        <v>1144</v>
      </c>
      <c r="N113">
        <v>362.7091724</v>
      </c>
      <c r="O113" t="s">
        <v>1145</v>
      </c>
      <c r="P113" t="s">
        <v>1146</v>
      </c>
    </row>
    <row r="114" spans="1:16" x14ac:dyDescent="0.35">
      <c r="A114">
        <v>334817</v>
      </c>
      <c r="B114" t="s">
        <v>1147</v>
      </c>
      <c r="C114" t="str">
        <f>"9780415955447"</f>
        <v>9780415955447</v>
      </c>
      <c r="D114" t="str">
        <f>"9780203927182"</f>
        <v>9780203927182</v>
      </c>
      <c r="E114" t="s">
        <v>19</v>
      </c>
      <c r="F114" t="s">
        <v>20</v>
      </c>
      <c r="G114" s="1">
        <v>39545</v>
      </c>
      <c r="H114" s="1">
        <v>39583</v>
      </c>
      <c r="I114">
        <v>1</v>
      </c>
      <c r="J114" t="s">
        <v>278</v>
      </c>
      <c r="K114" t="s">
        <v>1148</v>
      </c>
      <c r="L114" t="s">
        <v>33</v>
      </c>
      <c r="M114" t="s">
        <v>1149</v>
      </c>
      <c r="N114">
        <v>327.101</v>
      </c>
      <c r="O114" t="s">
        <v>1150</v>
      </c>
      <c r="P114" t="s">
        <v>1151</v>
      </c>
    </row>
    <row r="115" spans="1:16" x14ac:dyDescent="0.35">
      <c r="A115">
        <v>336273</v>
      </c>
      <c r="B115" t="s">
        <v>1152</v>
      </c>
      <c r="C115" t="str">
        <f>"9780415453219"</f>
        <v>9780415453219</v>
      </c>
      <c r="D115" t="str">
        <f>"9780203927984"</f>
        <v>9780203927984</v>
      </c>
      <c r="E115" t="s">
        <v>19</v>
      </c>
      <c r="F115" t="s">
        <v>20</v>
      </c>
      <c r="G115" s="1">
        <v>39615</v>
      </c>
      <c r="H115" s="1">
        <v>39583</v>
      </c>
      <c r="I115">
        <v>1</v>
      </c>
      <c r="K115" t="s">
        <v>1153</v>
      </c>
      <c r="L115" t="s">
        <v>24</v>
      </c>
      <c r="M115" t="s">
        <v>1154</v>
      </c>
      <c r="N115" t="s">
        <v>122</v>
      </c>
      <c r="O115" t="s">
        <v>1155</v>
      </c>
      <c r="P115" t="s">
        <v>1156</v>
      </c>
    </row>
    <row r="116" spans="1:16" x14ac:dyDescent="0.35">
      <c r="A116">
        <v>336285</v>
      </c>
      <c r="B116" t="s">
        <v>1157</v>
      </c>
      <c r="C116" t="str">
        <f>"9780415332415"</f>
        <v>9780415332415</v>
      </c>
      <c r="D116" t="str">
        <f>"9780203087619"</f>
        <v>9780203087619</v>
      </c>
      <c r="E116" t="s">
        <v>19</v>
      </c>
      <c r="F116" t="s">
        <v>20</v>
      </c>
      <c r="G116" s="1">
        <v>39615</v>
      </c>
      <c r="H116" s="1">
        <v>39583</v>
      </c>
      <c r="I116">
        <v>1</v>
      </c>
      <c r="K116" t="s">
        <v>1158</v>
      </c>
      <c r="L116" t="s">
        <v>74</v>
      </c>
      <c r="M116" t="s">
        <v>1159</v>
      </c>
      <c r="N116">
        <v>306.43200000000002</v>
      </c>
      <c r="O116" t="s">
        <v>1160</v>
      </c>
      <c r="P116" t="s">
        <v>1161</v>
      </c>
    </row>
    <row r="117" spans="1:16" x14ac:dyDescent="0.35">
      <c r="A117">
        <v>339251</v>
      </c>
      <c r="B117" t="s">
        <v>1162</v>
      </c>
      <c r="C117" t="str">
        <f>"9780415955492"</f>
        <v>9780415955492</v>
      </c>
      <c r="D117" t="str">
        <f>"9780203928561"</f>
        <v>9780203928561</v>
      </c>
      <c r="E117" t="s">
        <v>19</v>
      </c>
      <c r="F117" t="s">
        <v>20</v>
      </c>
      <c r="G117" s="1">
        <v>39561</v>
      </c>
      <c r="H117" s="1">
        <v>39635</v>
      </c>
      <c r="I117">
        <v>1</v>
      </c>
      <c r="J117" t="s">
        <v>134</v>
      </c>
      <c r="K117" t="s">
        <v>1163</v>
      </c>
      <c r="L117" t="s">
        <v>24</v>
      </c>
      <c r="M117" t="s">
        <v>1164</v>
      </c>
      <c r="N117">
        <v>820.93209045000003</v>
      </c>
      <c r="O117" t="s">
        <v>1165</v>
      </c>
      <c r="P117" t="s">
        <v>1166</v>
      </c>
    </row>
    <row r="118" spans="1:16" x14ac:dyDescent="0.35">
      <c r="A118">
        <v>339253</v>
      </c>
      <c r="B118" t="s">
        <v>1167</v>
      </c>
      <c r="C118" t="str">
        <f>"9780415956246"</f>
        <v>9780415956246</v>
      </c>
      <c r="D118" t="str">
        <f>"9780203929087"</f>
        <v>9780203929087</v>
      </c>
      <c r="E118" t="s">
        <v>19</v>
      </c>
      <c r="F118" t="s">
        <v>20</v>
      </c>
      <c r="G118" s="1">
        <v>39567</v>
      </c>
      <c r="H118" s="1">
        <v>39635</v>
      </c>
      <c r="I118">
        <v>1</v>
      </c>
      <c r="K118" t="s">
        <v>1168</v>
      </c>
      <c r="L118" t="s">
        <v>22</v>
      </c>
      <c r="M118" t="s">
        <v>1169</v>
      </c>
      <c r="N118">
        <v>194</v>
      </c>
      <c r="O118" t="s">
        <v>1170</v>
      </c>
      <c r="P118" t="s">
        <v>1171</v>
      </c>
    </row>
    <row r="119" spans="1:16" x14ac:dyDescent="0.35">
      <c r="A119">
        <v>342943</v>
      </c>
      <c r="B119" t="s">
        <v>1172</v>
      </c>
      <c r="C119" t="str">
        <f>"9780415426381"</f>
        <v>9780415426381</v>
      </c>
      <c r="D119" t="str">
        <f>"9780203926949"</f>
        <v>9780203926949</v>
      </c>
      <c r="E119" t="s">
        <v>19</v>
      </c>
      <c r="F119" t="s">
        <v>20</v>
      </c>
      <c r="G119" s="1">
        <v>39644</v>
      </c>
      <c r="H119" s="1">
        <v>39635</v>
      </c>
      <c r="I119">
        <v>1</v>
      </c>
      <c r="J119" t="s">
        <v>125</v>
      </c>
      <c r="K119" t="s">
        <v>1173</v>
      </c>
      <c r="L119" t="s">
        <v>27</v>
      </c>
      <c r="M119" t="s">
        <v>1174</v>
      </c>
      <c r="N119">
        <v>792</v>
      </c>
      <c r="O119" t="s">
        <v>1175</v>
      </c>
      <c r="P119" t="s">
        <v>1176</v>
      </c>
    </row>
    <row r="120" spans="1:16" x14ac:dyDescent="0.35">
      <c r="A120">
        <v>345082</v>
      </c>
      <c r="B120" t="s">
        <v>1177</v>
      </c>
      <c r="C120" t="str">
        <f>"9780415449595"</f>
        <v>9780415449595</v>
      </c>
      <c r="D120" t="str">
        <f>"9780203926758"</f>
        <v>9780203926758</v>
      </c>
      <c r="E120" t="s">
        <v>19</v>
      </c>
      <c r="F120" t="s">
        <v>20</v>
      </c>
      <c r="G120" s="1">
        <v>39653</v>
      </c>
      <c r="H120" s="1">
        <v>39654</v>
      </c>
      <c r="I120">
        <v>1</v>
      </c>
      <c r="J120" t="s">
        <v>136</v>
      </c>
      <c r="K120" t="s">
        <v>1178</v>
      </c>
      <c r="L120" t="s">
        <v>37</v>
      </c>
      <c r="M120" t="s">
        <v>1179</v>
      </c>
      <c r="N120" t="s">
        <v>1180</v>
      </c>
      <c r="O120" t="s">
        <v>1181</v>
      </c>
      <c r="P120" t="s">
        <v>1182</v>
      </c>
    </row>
    <row r="121" spans="1:16" x14ac:dyDescent="0.35">
      <c r="A121">
        <v>345086</v>
      </c>
      <c r="B121" t="s">
        <v>1183</v>
      </c>
      <c r="C121" t="str">
        <f>"9780789031419"</f>
        <v>9780789031419</v>
      </c>
      <c r="D121" t="str">
        <f>"9780203889398"</f>
        <v>9780203889398</v>
      </c>
      <c r="E121" t="s">
        <v>19</v>
      </c>
      <c r="F121" t="s">
        <v>20</v>
      </c>
      <c r="G121" s="1">
        <v>39600</v>
      </c>
      <c r="H121" s="1">
        <v>39635</v>
      </c>
      <c r="I121">
        <v>1</v>
      </c>
      <c r="J121" t="s">
        <v>1184</v>
      </c>
      <c r="K121" t="s">
        <v>1185</v>
      </c>
      <c r="L121" t="s">
        <v>234</v>
      </c>
      <c r="M121" t="s">
        <v>1186</v>
      </c>
      <c r="N121" t="s">
        <v>1187</v>
      </c>
      <c r="O121" t="s">
        <v>1188</v>
      </c>
      <c r="P121" t="s">
        <v>1189</v>
      </c>
    </row>
    <row r="122" spans="1:16" x14ac:dyDescent="0.35">
      <c r="A122">
        <v>348441</v>
      </c>
      <c r="B122" t="s">
        <v>1190</v>
      </c>
      <c r="C122" t="str">
        <f>"9780415412483"</f>
        <v>9780415412483</v>
      </c>
      <c r="D122" t="str">
        <f>"9780203932063"</f>
        <v>9780203932063</v>
      </c>
      <c r="E122" t="s">
        <v>19</v>
      </c>
      <c r="F122" t="s">
        <v>20</v>
      </c>
      <c r="G122" s="1">
        <v>39581</v>
      </c>
      <c r="H122" s="1">
        <v>39706</v>
      </c>
      <c r="I122">
        <v>1</v>
      </c>
      <c r="K122" t="s">
        <v>1191</v>
      </c>
      <c r="L122" t="s">
        <v>78</v>
      </c>
      <c r="M122" t="s">
        <v>1192</v>
      </c>
      <c r="N122">
        <v>618.92852200000004</v>
      </c>
      <c r="O122" t="s">
        <v>1193</v>
      </c>
      <c r="P122" t="s">
        <v>1194</v>
      </c>
    </row>
    <row r="123" spans="1:16" x14ac:dyDescent="0.35">
      <c r="A123">
        <v>348463</v>
      </c>
      <c r="B123" t="s">
        <v>1195</v>
      </c>
      <c r="C123" t="str">
        <f>"9780415396363"</f>
        <v>9780415396363</v>
      </c>
      <c r="D123" t="str">
        <f>"9780203894927"</f>
        <v>9780203894927</v>
      </c>
      <c r="E123" t="s">
        <v>19</v>
      </c>
      <c r="F123" t="s">
        <v>20</v>
      </c>
      <c r="G123" s="1">
        <v>39679</v>
      </c>
      <c r="H123" s="1">
        <v>39654</v>
      </c>
      <c r="I123">
        <v>1</v>
      </c>
      <c r="J123" t="s">
        <v>1196</v>
      </c>
      <c r="K123" t="s">
        <v>1197</v>
      </c>
      <c r="L123" t="s">
        <v>30</v>
      </c>
      <c r="M123" t="s">
        <v>1198</v>
      </c>
      <c r="N123">
        <v>379.26</v>
      </c>
      <c r="O123" t="s">
        <v>1199</v>
      </c>
      <c r="P123" t="s">
        <v>1200</v>
      </c>
    </row>
    <row r="124" spans="1:16" x14ac:dyDescent="0.35">
      <c r="A124">
        <v>348488</v>
      </c>
      <c r="B124" t="s">
        <v>1201</v>
      </c>
      <c r="C124" t="str">
        <f>"9780415432962"</f>
        <v>9780415432962</v>
      </c>
      <c r="D124" t="str">
        <f>"9780203886205"</f>
        <v>9780203886205</v>
      </c>
      <c r="E124" t="s">
        <v>20</v>
      </c>
      <c r="F124" t="s">
        <v>20</v>
      </c>
      <c r="G124" s="1">
        <v>39630</v>
      </c>
      <c r="H124" s="1">
        <v>39645</v>
      </c>
      <c r="I124">
        <v>1</v>
      </c>
      <c r="K124" t="s">
        <v>1202</v>
      </c>
      <c r="L124" t="s">
        <v>545</v>
      </c>
      <c r="M124" t="s">
        <v>1203</v>
      </c>
      <c r="N124">
        <v>611.70000000000005</v>
      </c>
      <c r="O124" t="s">
        <v>389</v>
      </c>
      <c r="P124" t="s">
        <v>1204</v>
      </c>
    </row>
    <row r="125" spans="1:16" x14ac:dyDescent="0.35">
      <c r="A125">
        <v>348493</v>
      </c>
      <c r="B125" t="s">
        <v>1205</v>
      </c>
      <c r="C125" t="str">
        <f>"9780805862171"</f>
        <v>9780805862171</v>
      </c>
      <c r="D125" t="str">
        <f>"9780203887219"</f>
        <v>9780203887219</v>
      </c>
      <c r="E125" t="s">
        <v>19</v>
      </c>
      <c r="F125" t="s">
        <v>20</v>
      </c>
      <c r="G125" s="1">
        <v>39605</v>
      </c>
      <c r="H125" s="1">
        <v>39645</v>
      </c>
      <c r="I125">
        <v>2</v>
      </c>
      <c r="J125" t="s">
        <v>833</v>
      </c>
      <c r="K125" t="s">
        <v>1206</v>
      </c>
      <c r="L125" t="s">
        <v>149</v>
      </c>
      <c r="M125" t="s">
        <v>1207</v>
      </c>
      <c r="N125" t="s">
        <v>1208</v>
      </c>
      <c r="O125" t="s">
        <v>1209</v>
      </c>
      <c r="P125" t="s">
        <v>1210</v>
      </c>
    </row>
    <row r="126" spans="1:16" x14ac:dyDescent="0.35">
      <c r="A126">
        <v>348494</v>
      </c>
      <c r="B126" t="s">
        <v>1211</v>
      </c>
      <c r="C126" t="str">
        <f>"9780805860009"</f>
        <v>9780805860009</v>
      </c>
      <c r="D126" t="str">
        <f>"9780203894941"</f>
        <v>9780203894941</v>
      </c>
      <c r="E126" t="s">
        <v>19</v>
      </c>
      <c r="F126" t="s">
        <v>20</v>
      </c>
      <c r="G126" s="1">
        <v>39675</v>
      </c>
      <c r="H126" s="1">
        <v>39645</v>
      </c>
      <c r="I126">
        <v>2</v>
      </c>
      <c r="K126" t="s">
        <v>1212</v>
      </c>
      <c r="L126" t="s">
        <v>51</v>
      </c>
      <c r="M126" t="s">
        <v>1213</v>
      </c>
      <c r="N126" t="s">
        <v>1214</v>
      </c>
      <c r="O126" t="s">
        <v>1215</v>
      </c>
      <c r="P126" t="s">
        <v>1216</v>
      </c>
    </row>
    <row r="127" spans="1:16" x14ac:dyDescent="0.35">
      <c r="A127">
        <v>348509</v>
      </c>
      <c r="B127" t="s">
        <v>1217</v>
      </c>
      <c r="C127" t="str">
        <f>"9780415454940"</f>
        <v>9780415454940</v>
      </c>
      <c r="D127" t="str">
        <f>"9780203090732"</f>
        <v>9780203090732</v>
      </c>
      <c r="E127" t="s">
        <v>19</v>
      </c>
      <c r="F127" t="s">
        <v>20</v>
      </c>
      <c r="G127" s="1">
        <v>39674</v>
      </c>
      <c r="H127" s="1">
        <v>39645</v>
      </c>
      <c r="I127">
        <v>1</v>
      </c>
      <c r="J127" t="s">
        <v>1218</v>
      </c>
      <c r="K127" t="s">
        <v>1219</v>
      </c>
      <c r="L127" t="s">
        <v>68</v>
      </c>
      <c r="M127" t="s">
        <v>1220</v>
      </c>
      <c r="N127">
        <v>501</v>
      </c>
      <c r="O127" t="s">
        <v>1221</v>
      </c>
      <c r="P127" t="s">
        <v>1222</v>
      </c>
    </row>
    <row r="128" spans="1:16" x14ac:dyDescent="0.35">
      <c r="A128">
        <v>350225</v>
      </c>
      <c r="B128" t="s">
        <v>1223</v>
      </c>
      <c r="C128" t="str">
        <f>"9780415989718"</f>
        <v>9780415989718</v>
      </c>
      <c r="D128" t="str">
        <f>"9780203894217"</f>
        <v>9780203894217</v>
      </c>
      <c r="E128" t="s">
        <v>19</v>
      </c>
      <c r="F128" t="s">
        <v>20</v>
      </c>
      <c r="G128" s="1">
        <v>39630</v>
      </c>
      <c r="H128" s="1">
        <v>39706</v>
      </c>
      <c r="I128">
        <v>2</v>
      </c>
      <c r="K128" t="s">
        <v>1224</v>
      </c>
      <c r="L128" t="s">
        <v>35</v>
      </c>
      <c r="M128" t="s">
        <v>1225</v>
      </c>
      <c r="N128">
        <v>428.40699999999998</v>
      </c>
      <c r="O128" t="s">
        <v>1226</v>
      </c>
      <c r="P128" t="s">
        <v>1227</v>
      </c>
    </row>
    <row r="129" spans="1:16" x14ac:dyDescent="0.35">
      <c r="A129">
        <v>350228</v>
      </c>
      <c r="B129" t="s">
        <v>1228</v>
      </c>
      <c r="C129" t="str">
        <f>"9780415384957"</f>
        <v>9780415384957</v>
      </c>
      <c r="D129" t="str">
        <f>"9780203892244"</f>
        <v>9780203892244</v>
      </c>
      <c r="E129" t="s">
        <v>19</v>
      </c>
      <c r="F129" t="s">
        <v>20</v>
      </c>
      <c r="G129" s="1">
        <v>39696</v>
      </c>
      <c r="H129" s="1">
        <v>39706</v>
      </c>
      <c r="I129">
        <v>1</v>
      </c>
      <c r="K129" t="s">
        <v>1229</v>
      </c>
      <c r="L129" t="s">
        <v>25</v>
      </c>
      <c r="M129" t="s">
        <v>1230</v>
      </c>
      <c r="N129">
        <v>155</v>
      </c>
      <c r="O129" t="s">
        <v>1231</v>
      </c>
      <c r="P129" t="s">
        <v>1232</v>
      </c>
    </row>
    <row r="130" spans="1:16" x14ac:dyDescent="0.35">
      <c r="A130">
        <v>355844</v>
      </c>
      <c r="B130" t="s">
        <v>1233</v>
      </c>
      <c r="C130" t="str">
        <f>"9780415964845"</f>
        <v>9780415964845</v>
      </c>
      <c r="D130" t="str">
        <f>"9780203892817"</f>
        <v>9780203892817</v>
      </c>
      <c r="E130" t="s">
        <v>19</v>
      </c>
      <c r="F130" t="s">
        <v>20</v>
      </c>
      <c r="G130" s="1">
        <v>39665</v>
      </c>
      <c r="H130" s="1">
        <v>39706</v>
      </c>
      <c r="I130">
        <v>2</v>
      </c>
      <c r="K130" t="s">
        <v>1234</v>
      </c>
      <c r="L130" t="s">
        <v>1235</v>
      </c>
      <c r="M130" t="s">
        <v>1236</v>
      </c>
      <c r="N130">
        <v>910.92</v>
      </c>
      <c r="O130" t="s">
        <v>1237</v>
      </c>
      <c r="P130" t="s">
        <v>1238</v>
      </c>
    </row>
    <row r="131" spans="1:16" x14ac:dyDescent="0.35">
      <c r="A131">
        <v>355868</v>
      </c>
      <c r="B131" t="s">
        <v>1239</v>
      </c>
      <c r="C131" t="str">
        <f>"9780415989695"</f>
        <v>9780415989695</v>
      </c>
      <c r="D131" t="str">
        <f>"9780203891704"</f>
        <v>9780203891704</v>
      </c>
      <c r="E131" t="s">
        <v>19</v>
      </c>
      <c r="F131" t="s">
        <v>20</v>
      </c>
      <c r="G131" s="1">
        <v>39673</v>
      </c>
      <c r="H131" s="1">
        <v>39701</v>
      </c>
      <c r="I131">
        <v>1</v>
      </c>
      <c r="J131" t="s">
        <v>862</v>
      </c>
      <c r="K131" t="s">
        <v>1240</v>
      </c>
      <c r="L131" t="s">
        <v>35</v>
      </c>
      <c r="M131" t="s">
        <v>1241</v>
      </c>
      <c r="N131">
        <v>428.00709999999998</v>
      </c>
      <c r="O131" t="s">
        <v>1242</v>
      </c>
      <c r="P131" t="s">
        <v>1243</v>
      </c>
    </row>
    <row r="132" spans="1:16" x14ac:dyDescent="0.35">
      <c r="A132">
        <v>355869</v>
      </c>
      <c r="B132" t="s">
        <v>1244</v>
      </c>
      <c r="C132" t="str">
        <f>"9780415989671"</f>
        <v>9780415989671</v>
      </c>
      <c r="D132" t="str">
        <f>"9780203891643"</f>
        <v>9780203891643</v>
      </c>
      <c r="E132" t="s">
        <v>19</v>
      </c>
      <c r="F132" t="s">
        <v>20</v>
      </c>
      <c r="G132" s="1">
        <v>39673</v>
      </c>
      <c r="H132" s="1">
        <v>39701</v>
      </c>
      <c r="I132">
        <v>1</v>
      </c>
      <c r="J132" t="s">
        <v>862</v>
      </c>
      <c r="K132" t="s">
        <v>1245</v>
      </c>
      <c r="L132" t="s">
        <v>35</v>
      </c>
      <c r="M132" t="s">
        <v>1246</v>
      </c>
      <c r="N132" t="s">
        <v>152</v>
      </c>
      <c r="O132" t="s">
        <v>1242</v>
      </c>
      <c r="P132" t="s">
        <v>1247</v>
      </c>
    </row>
    <row r="133" spans="1:16" x14ac:dyDescent="0.35">
      <c r="A133">
        <v>355885</v>
      </c>
      <c r="B133" t="s">
        <v>1248</v>
      </c>
      <c r="C133" t="str">
        <f>"9781841695709"</f>
        <v>9781841695709</v>
      </c>
      <c r="D133" t="str">
        <f>"9780203929902"</f>
        <v>9780203929902</v>
      </c>
      <c r="E133" t="s">
        <v>19</v>
      </c>
      <c r="F133" t="s">
        <v>43</v>
      </c>
      <c r="G133" s="1">
        <v>39678</v>
      </c>
      <c r="H133" s="1">
        <v>39702</v>
      </c>
      <c r="I133">
        <v>1</v>
      </c>
      <c r="J133" t="s">
        <v>1249</v>
      </c>
      <c r="K133" t="s">
        <v>1250</v>
      </c>
      <c r="L133" t="s">
        <v>25</v>
      </c>
      <c r="M133" t="s">
        <v>1251</v>
      </c>
      <c r="N133" t="s">
        <v>63</v>
      </c>
      <c r="O133" t="s">
        <v>1252</v>
      </c>
      <c r="P133" t="s">
        <v>1253</v>
      </c>
    </row>
    <row r="134" spans="1:16" x14ac:dyDescent="0.35">
      <c r="A134">
        <v>355892</v>
      </c>
      <c r="B134" t="s">
        <v>1254</v>
      </c>
      <c r="C134" t="str">
        <f>"9780415963718"</f>
        <v>9780415963718</v>
      </c>
      <c r="D134" t="str">
        <f>"9780203890561"</f>
        <v>9780203890561</v>
      </c>
      <c r="E134" t="s">
        <v>19</v>
      </c>
      <c r="F134" t="s">
        <v>20</v>
      </c>
      <c r="G134" s="1">
        <v>39685</v>
      </c>
      <c r="H134" s="1">
        <v>39702</v>
      </c>
      <c r="I134">
        <v>1</v>
      </c>
      <c r="K134" t="s">
        <v>1255</v>
      </c>
      <c r="L134" t="s">
        <v>147</v>
      </c>
      <c r="M134" t="s">
        <v>1256</v>
      </c>
      <c r="N134" t="s">
        <v>1257</v>
      </c>
      <c r="O134" t="s">
        <v>1258</v>
      </c>
      <c r="P134" t="s">
        <v>1259</v>
      </c>
    </row>
    <row r="135" spans="1:16" x14ac:dyDescent="0.35">
      <c r="A135">
        <v>355896</v>
      </c>
      <c r="B135" t="s">
        <v>1260</v>
      </c>
      <c r="C135" t="str">
        <f>"9780415453295"</f>
        <v>9780415453295</v>
      </c>
      <c r="D135" t="str">
        <f>"9780203893036"</f>
        <v>9780203893036</v>
      </c>
      <c r="E135" t="s">
        <v>19</v>
      </c>
      <c r="F135" t="s">
        <v>20</v>
      </c>
      <c r="G135" s="1">
        <v>39741</v>
      </c>
      <c r="H135" s="1">
        <v>41877</v>
      </c>
      <c r="I135">
        <v>1</v>
      </c>
      <c r="K135" t="s">
        <v>1261</v>
      </c>
      <c r="L135" t="s">
        <v>1262</v>
      </c>
      <c r="M135" t="s">
        <v>1263</v>
      </c>
      <c r="N135" t="s">
        <v>1264</v>
      </c>
      <c r="O135" t="s">
        <v>1265</v>
      </c>
      <c r="P135" t="s">
        <v>1266</v>
      </c>
    </row>
    <row r="136" spans="1:16" x14ac:dyDescent="0.35">
      <c r="A136">
        <v>355932</v>
      </c>
      <c r="B136" t="s">
        <v>1267</v>
      </c>
      <c r="C136" t="str">
        <f>"9780415385220"</f>
        <v>9780415385220</v>
      </c>
      <c r="D136" t="str">
        <f>"9780203892619"</f>
        <v>9780203892619</v>
      </c>
      <c r="E136" t="s">
        <v>19</v>
      </c>
      <c r="F136" t="s">
        <v>20</v>
      </c>
      <c r="G136" s="1">
        <v>39675</v>
      </c>
      <c r="H136" s="1">
        <v>39702</v>
      </c>
      <c r="I136">
        <v>1</v>
      </c>
      <c r="K136" t="s">
        <v>1268</v>
      </c>
      <c r="L136" t="s">
        <v>103</v>
      </c>
      <c r="M136" t="s">
        <v>1269</v>
      </c>
      <c r="N136">
        <v>306.48700000000002</v>
      </c>
      <c r="O136" t="s">
        <v>1270</v>
      </c>
      <c r="P136" t="s">
        <v>1271</v>
      </c>
    </row>
    <row r="137" spans="1:16" x14ac:dyDescent="0.35">
      <c r="A137">
        <v>355948</v>
      </c>
      <c r="B137" t="s">
        <v>1272</v>
      </c>
      <c r="C137" t="str">
        <f>"9780415427234"</f>
        <v>9780415427234</v>
      </c>
      <c r="D137" t="str">
        <f>"9780203961872"</f>
        <v>9780203961872</v>
      </c>
      <c r="E137" t="s">
        <v>57</v>
      </c>
      <c r="F137" t="s">
        <v>57</v>
      </c>
      <c r="G137" s="1">
        <v>39165</v>
      </c>
      <c r="H137" s="1">
        <v>39706</v>
      </c>
      <c r="I137">
        <v>1</v>
      </c>
      <c r="J137" t="s">
        <v>164</v>
      </c>
      <c r="K137" t="s">
        <v>1273</v>
      </c>
      <c r="L137" t="s">
        <v>1274</v>
      </c>
      <c r="M137" t="s">
        <v>1275</v>
      </c>
      <c r="N137">
        <v>526</v>
      </c>
      <c r="O137" t="s">
        <v>1276</v>
      </c>
      <c r="P137" t="s">
        <v>1277</v>
      </c>
    </row>
    <row r="138" spans="1:16" x14ac:dyDescent="0.35">
      <c r="A138">
        <v>355957</v>
      </c>
      <c r="B138" t="s">
        <v>1278</v>
      </c>
      <c r="C138" t="str">
        <f>"9780415415729"</f>
        <v>9780415415729</v>
      </c>
      <c r="D138" t="str">
        <f>"9780203088814"</f>
        <v>9780203088814</v>
      </c>
      <c r="E138" t="s">
        <v>20</v>
      </c>
      <c r="F138" t="s">
        <v>20</v>
      </c>
      <c r="G138" s="1">
        <v>39202</v>
      </c>
      <c r="H138" s="1">
        <v>39703</v>
      </c>
      <c r="J138" t="s">
        <v>301</v>
      </c>
      <c r="K138" t="s">
        <v>1279</v>
      </c>
      <c r="L138" t="s">
        <v>35</v>
      </c>
      <c r="M138" t="s">
        <v>1280</v>
      </c>
      <c r="N138">
        <v>492.782421</v>
      </c>
      <c r="O138" t="s">
        <v>1281</v>
      </c>
      <c r="P138" t="s">
        <v>1282</v>
      </c>
    </row>
    <row r="139" spans="1:16" x14ac:dyDescent="0.35">
      <c r="A139">
        <v>355973</v>
      </c>
      <c r="B139" t="s">
        <v>1283</v>
      </c>
      <c r="C139" t="str">
        <f>"9780415410182"</f>
        <v>9780415410182</v>
      </c>
      <c r="D139" t="str">
        <f>"9780203947494"</f>
        <v>9780203947494</v>
      </c>
      <c r="E139" t="s">
        <v>19</v>
      </c>
      <c r="F139" t="s">
        <v>20</v>
      </c>
      <c r="G139" s="1">
        <v>39280</v>
      </c>
      <c r="H139" s="1">
        <v>39703</v>
      </c>
      <c r="I139">
        <v>1</v>
      </c>
      <c r="J139" t="s">
        <v>277</v>
      </c>
      <c r="K139" t="s">
        <v>1284</v>
      </c>
      <c r="L139" t="s">
        <v>37</v>
      </c>
      <c r="M139" t="s">
        <v>1285</v>
      </c>
      <c r="N139">
        <v>294.33720958999999</v>
      </c>
      <c r="O139" t="s">
        <v>1286</v>
      </c>
      <c r="P139" t="s">
        <v>1287</v>
      </c>
    </row>
    <row r="140" spans="1:16" x14ac:dyDescent="0.35">
      <c r="A140">
        <v>356032</v>
      </c>
      <c r="B140" t="s">
        <v>1288</v>
      </c>
      <c r="C140" t="str">
        <f>"9780415421201"</f>
        <v>9780415421201</v>
      </c>
      <c r="D140" t="str">
        <f>"9780203964385"</f>
        <v>9780203964385</v>
      </c>
      <c r="E140" t="s">
        <v>19</v>
      </c>
      <c r="F140" t="s">
        <v>20</v>
      </c>
      <c r="G140" s="1">
        <v>39224</v>
      </c>
      <c r="H140" s="1">
        <v>39706</v>
      </c>
      <c r="I140">
        <v>1</v>
      </c>
      <c r="J140" t="s">
        <v>279</v>
      </c>
      <c r="K140" t="s">
        <v>1289</v>
      </c>
      <c r="L140" t="s">
        <v>45</v>
      </c>
      <c r="M140" t="s">
        <v>1290</v>
      </c>
      <c r="N140">
        <v>305.69709514499999</v>
      </c>
      <c r="O140" t="s">
        <v>1291</v>
      </c>
      <c r="P140" t="s">
        <v>1292</v>
      </c>
    </row>
    <row r="141" spans="1:16" x14ac:dyDescent="0.35">
      <c r="A141">
        <v>356335</v>
      </c>
      <c r="B141" t="s">
        <v>1293</v>
      </c>
      <c r="C141" t="str">
        <f>"9780415442206"</f>
        <v>9780415442206</v>
      </c>
      <c r="D141" t="str">
        <f>"9780203891889"</f>
        <v>9780203891889</v>
      </c>
      <c r="E141" t="s">
        <v>19</v>
      </c>
      <c r="F141" t="s">
        <v>20</v>
      </c>
      <c r="G141" s="1">
        <v>39736</v>
      </c>
      <c r="H141" s="1">
        <v>39702</v>
      </c>
      <c r="I141">
        <v>1</v>
      </c>
      <c r="K141" t="s">
        <v>1294</v>
      </c>
      <c r="L141" t="s">
        <v>77</v>
      </c>
      <c r="M141" t="s">
        <v>1295</v>
      </c>
      <c r="N141">
        <v>1.42</v>
      </c>
      <c r="O141" t="s">
        <v>1296</v>
      </c>
      <c r="P141" t="s">
        <v>1297</v>
      </c>
    </row>
    <row r="142" spans="1:16" x14ac:dyDescent="0.35">
      <c r="A142">
        <v>356343</v>
      </c>
      <c r="B142" t="s">
        <v>1298</v>
      </c>
      <c r="C142" t="str">
        <f>"9780415989756"</f>
        <v>9780415989756</v>
      </c>
      <c r="D142" t="str">
        <f>"9780203928912"</f>
        <v>9780203928912</v>
      </c>
      <c r="E142" t="s">
        <v>19</v>
      </c>
      <c r="F142" t="s">
        <v>20</v>
      </c>
      <c r="G142" s="1">
        <v>39708</v>
      </c>
      <c r="H142" s="1">
        <v>39702</v>
      </c>
      <c r="I142">
        <v>2</v>
      </c>
      <c r="K142" t="s">
        <v>1299</v>
      </c>
      <c r="L142" t="s">
        <v>38</v>
      </c>
      <c r="M142" t="s">
        <v>1300</v>
      </c>
      <c r="N142">
        <v>302.23</v>
      </c>
      <c r="O142" t="s">
        <v>1301</v>
      </c>
      <c r="P142" t="s">
        <v>1302</v>
      </c>
    </row>
    <row r="143" spans="1:16" x14ac:dyDescent="0.35">
      <c r="A143">
        <v>356351</v>
      </c>
      <c r="B143" t="s">
        <v>1303</v>
      </c>
      <c r="C143" t="str">
        <f>"9781841695846"</f>
        <v>9781841695846</v>
      </c>
      <c r="D143" t="str">
        <f>"9780203938942"</f>
        <v>9780203938942</v>
      </c>
      <c r="E143" t="s">
        <v>19</v>
      </c>
      <c r="F143" t="s">
        <v>20</v>
      </c>
      <c r="G143" s="1">
        <v>39995</v>
      </c>
      <c r="H143" s="1">
        <v>39702</v>
      </c>
      <c r="I143">
        <v>1</v>
      </c>
      <c r="K143" t="s">
        <v>1304</v>
      </c>
      <c r="L143" t="s">
        <v>38</v>
      </c>
      <c r="M143" t="s">
        <v>1305</v>
      </c>
      <c r="N143">
        <v>303.48340000000002</v>
      </c>
      <c r="O143" t="s">
        <v>1306</v>
      </c>
      <c r="P143" t="s">
        <v>1307</v>
      </c>
    </row>
    <row r="144" spans="1:16" x14ac:dyDescent="0.35">
      <c r="A144">
        <v>356356</v>
      </c>
      <c r="B144" t="s">
        <v>1308</v>
      </c>
      <c r="C144" t="str">
        <f>"9781841696423"</f>
        <v>9781841696423</v>
      </c>
      <c r="D144" t="str">
        <f>"9780203934654"</f>
        <v>9780203934654</v>
      </c>
      <c r="E144" t="s">
        <v>19</v>
      </c>
      <c r="F144" t="s">
        <v>43</v>
      </c>
      <c r="G144" s="1">
        <v>39755</v>
      </c>
      <c r="H144" s="1">
        <v>39702</v>
      </c>
      <c r="I144">
        <v>2</v>
      </c>
      <c r="J144" t="s">
        <v>140</v>
      </c>
      <c r="K144" t="s">
        <v>1309</v>
      </c>
      <c r="L144" t="s">
        <v>25</v>
      </c>
      <c r="M144" t="s">
        <v>1310</v>
      </c>
      <c r="N144" t="s">
        <v>1311</v>
      </c>
      <c r="O144" t="s">
        <v>1312</v>
      </c>
      <c r="P144" t="s">
        <v>1313</v>
      </c>
    </row>
    <row r="145" spans="1:16" x14ac:dyDescent="0.35">
      <c r="A145">
        <v>356362</v>
      </c>
      <c r="B145" t="s">
        <v>1314</v>
      </c>
      <c r="C145" t="str">
        <f>"9780415391573"</f>
        <v>9780415391573</v>
      </c>
      <c r="D145" t="str">
        <f>"9780203885611"</f>
        <v>9780203885611</v>
      </c>
      <c r="E145" t="s">
        <v>19</v>
      </c>
      <c r="F145" t="s">
        <v>20</v>
      </c>
      <c r="G145" s="1">
        <v>39581</v>
      </c>
      <c r="H145" s="1">
        <v>39715</v>
      </c>
      <c r="I145">
        <v>1</v>
      </c>
      <c r="K145" t="s">
        <v>1315</v>
      </c>
      <c r="L145" t="s">
        <v>27</v>
      </c>
      <c r="M145" t="s">
        <v>1316</v>
      </c>
      <c r="N145">
        <v>706.8</v>
      </c>
      <c r="O145" t="s">
        <v>1317</v>
      </c>
      <c r="P145" t="s">
        <v>1318</v>
      </c>
    </row>
    <row r="146" spans="1:16" x14ac:dyDescent="0.35">
      <c r="A146">
        <v>356383</v>
      </c>
      <c r="B146" t="s">
        <v>1319</v>
      </c>
      <c r="C146" t="str">
        <f>"9780415403535"</f>
        <v>9780415403535</v>
      </c>
      <c r="D146" t="str">
        <f>"9780203928288"</f>
        <v>9780203928288</v>
      </c>
      <c r="E146" t="s">
        <v>19</v>
      </c>
      <c r="F146" t="s">
        <v>20</v>
      </c>
      <c r="G146" s="1">
        <v>39626</v>
      </c>
      <c r="H146" s="1">
        <v>41877</v>
      </c>
      <c r="I146">
        <v>1</v>
      </c>
      <c r="J146" t="s">
        <v>236</v>
      </c>
      <c r="K146" t="s">
        <v>1320</v>
      </c>
      <c r="L146" t="s">
        <v>97</v>
      </c>
      <c r="M146" t="s">
        <v>1321</v>
      </c>
      <c r="N146">
        <v>341.52</v>
      </c>
      <c r="O146" t="s">
        <v>1322</v>
      </c>
      <c r="P146" t="s">
        <v>1323</v>
      </c>
    </row>
    <row r="147" spans="1:16" x14ac:dyDescent="0.35">
      <c r="A147">
        <v>356402</v>
      </c>
      <c r="B147" t="s">
        <v>1324</v>
      </c>
      <c r="C147" t="str">
        <f>"9780415464543"</f>
        <v>9780415464543</v>
      </c>
      <c r="D147" t="str">
        <f>"9780203891933"</f>
        <v>9780203891933</v>
      </c>
      <c r="E147" t="s">
        <v>19</v>
      </c>
      <c r="F147" t="s">
        <v>20</v>
      </c>
      <c r="G147" s="1">
        <v>39755</v>
      </c>
      <c r="H147" s="1">
        <v>39702</v>
      </c>
      <c r="I147">
        <v>1</v>
      </c>
      <c r="J147" t="s">
        <v>376</v>
      </c>
      <c r="K147" t="s">
        <v>1325</v>
      </c>
      <c r="L147" t="s">
        <v>29</v>
      </c>
      <c r="M147" t="s">
        <v>1326</v>
      </c>
      <c r="N147" t="s">
        <v>293</v>
      </c>
      <c r="O147" t="s">
        <v>508</v>
      </c>
      <c r="P147" t="s">
        <v>1327</v>
      </c>
    </row>
    <row r="148" spans="1:16" x14ac:dyDescent="0.35">
      <c r="A148">
        <v>356411</v>
      </c>
      <c r="B148" t="s">
        <v>1328</v>
      </c>
      <c r="C148" t="str">
        <f>"9780415448376"</f>
        <v>9780415448376</v>
      </c>
      <c r="D148" t="str">
        <f>"9780203929483"</f>
        <v>9780203929483</v>
      </c>
      <c r="E148" t="s">
        <v>19</v>
      </c>
      <c r="F148" t="s">
        <v>20</v>
      </c>
      <c r="G148" s="1">
        <v>39750</v>
      </c>
      <c r="H148" s="1">
        <v>39729</v>
      </c>
      <c r="I148">
        <v>1</v>
      </c>
      <c r="J148" t="s">
        <v>1329</v>
      </c>
      <c r="K148" t="s">
        <v>1330</v>
      </c>
      <c r="L148" t="s">
        <v>395</v>
      </c>
      <c r="M148" t="s">
        <v>1331</v>
      </c>
      <c r="N148">
        <v>519.5</v>
      </c>
      <c r="O148" t="s">
        <v>430</v>
      </c>
      <c r="P148" t="s">
        <v>1332</v>
      </c>
    </row>
    <row r="149" spans="1:16" x14ac:dyDescent="0.35">
      <c r="A149">
        <v>357837</v>
      </c>
      <c r="B149" t="s">
        <v>1333</v>
      </c>
      <c r="C149" t="str">
        <f>"9780415460859"</f>
        <v>9780415460859</v>
      </c>
      <c r="D149" t="str">
        <f>"9780203891803"</f>
        <v>9780203891803</v>
      </c>
      <c r="E149" t="s">
        <v>19</v>
      </c>
      <c r="F149" t="s">
        <v>20</v>
      </c>
      <c r="G149" s="1">
        <v>39770</v>
      </c>
      <c r="H149" s="1">
        <v>41877</v>
      </c>
      <c r="I149">
        <v>1</v>
      </c>
      <c r="K149" t="s">
        <v>1334</v>
      </c>
      <c r="L149" t="s">
        <v>65</v>
      </c>
      <c r="M149" t="s">
        <v>1335</v>
      </c>
      <c r="N149" t="s">
        <v>1336</v>
      </c>
      <c r="O149" t="s">
        <v>1337</v>
      </c>
      <c r="P149" t="s">
        <v>1338</v>
      </c>
    </row>
    <row r="150" spans="1:16" x14ac:dyDescent="0.35">
      <c r="A150">
        <v>359045</v>
      </c>
      <c r="B150" t="s">
        <v>1339</v>
      </c>
      <c r="C150" t="str">
        <f>"9780415468015"</f>
        <v>9780415468015</v>
      </c>
      <c r="D150" t="str">
        <f>"9780203890592"</f>
        <v>9780203890592</v>
      </c>
      <c r="E150" t="s">
        <v>19</v>
      </c>
      <c r="F150" t="s">
        <v>20</v>
      </c>
      <c r="G150" s="1">
        <v>39785</v>
      </c>
      <c r="H150" s="1">
        <v>39729</v>
      </c>
      <c r="I150">
        <v>1</v>
      </c>
      <c r="J150" t="s">
        <v>1340</v>
      </c>
      <c r="K150" t="s">
        <v>1341</v>
      </c>
      <c r="L150" t="s">
        <v>41</v>
      </c>
      <c r="M150" t="s">
        <v>1342</v>
      </c>
      <c r="N150" t="s">
        <v>1343</v>
      </c>
      <c r="O150" t="s">
        <v>1344</v>
      </c>
      <c r="P150" t="s">
        <v>1345</v>
      </c>
    </row>
    <row r="151" spans="1:16" x14ac:dyDescent="0.35">
      <c r="A151">
        <v>359053</v>
      </c>
      <c r="B151" t="s">
        <v>1346</v>
      </c>
      <c r="C151" t="str">
        <f>"9780415960588"</f>
        <v>9780415960588</v>
      </c>
      <c r="D151" t="str">
        <f>"9780203895344"</f>
        <v>9780203895344</v>
      </c>
      <c r="E151" t="s">
        <v>20</v>
      </c>
      <c r="F151" t="s">
        <v>20</v>
      </c>
      <c r="G151" s="1">
        <v>39667</v>
      </c>
      <c r="H151" s="1">
        <v>39788</v>
      </c>
      <c r="I151">
        <v>3</v>
      </c>
      <c r="K151" t="s">
        <v>1347</v>
      </c>
      <c r="L151" t="s">
        <v>38</v>
      </c>
      <c r="M151" t="s">
        <v>1348</v>
      </c>
      <c r="N151">
        <v>302.23</v>
      </c>
      <c r="O151" t="s">
        <v>1349</v>
      </c>
      <c r="P151" t="s">
        <v>1350</v>
      </c>
    </row>
    <row r="152" spans="1:16" x14ac:dyDescent="0.35">
      <c r="A152">
        <v>360135</v>
      </c>
      <c r="B152" t="s">
        <v>1351</v>
      </c>
      <c r="C152" t="str">
        <f>"9780415450331"</f>
        <v>9780415450331</v>
      </c>
      <c r="D152" t="str">
        <f>"9780203889749"</f>
        <v>9780203889749</v>
      </c>
      <c r="E152" t="s">
        <v>19</v>
      </c>
      <c r="F152" t="s">
        <v>20</v>
      </c>
      <c r="G152" s="1">
        <v>39745</v>
      </c>
      <c r="H152" s="1">
        <v>39723</v>
      </c>
      <c r="I152">
        <v>1</v>
      </c>
      <c r="K152" t="s">
        <v>1352</v>
      </c>
      <c r="L152" t="s">
        <v>80</v>
      </c>
      <c r="M152" t="s">
        <v>1353</v>
      </c>
      <c r="N152">
        <v>809.93349999999998</v>
      </c>
      <c r="O152" t="s">
        <v>1354</v>
      </c>
      <c r="P152" t="s">
        <v>1355</v>
      </c>
    </row>
    <row r="153" spans="1:16" x14ac:dyDescent="0.35">
      <c r="A153">
        <v>360139</v>
      </c>
      <c r="B153" t="s">
        <v>1356</v>
      </c>
      <c r="C153" t="str">
        <f>"9780415437592"</f>
        <v>9780415437592</v>
      </c>
      <c r="D153" t="str">
        <f>"9780203891568"</f>
        <v>9780203891568</v>
      </c>
      <c r="E153" t="s">
        <v>19</v>
      </c>
      <c r="F153" t="s">
        <v>20</v>
      </c>
      <c r="G153" s="1">
        <v>39776</v>
      </c>
      <c r="H153" s="1">
        <v>41878</v>
      </c>
      <c r="I153">
        <v>1</v>
      </c>
      <c r="K153" t="s">
        <v>1357</v>
      </c>
      <c r="L153" t="s">
        <v>28</v>
      </c>
      <c r="M153" t="s">
        <v>1358</v>
      </c>
      <c r="N153">
        <v>658.40300000000002</v>
      </c>
      <c r="O153" t="s">
        <v>386</v>
      </c>
      <c r="P153" t="s">
        <v>1359</v>
      </c>
    </row>
    <row r="154" spans="1:16" x14ac:dyDescent="0.35">
      <c r="A154">
        <v>362259</v>
      </c>
      <c r="B154" t="s">
        <v>1360</v>
      </c>
      <c r="C154" t="str">
        <f>"9780415777339"</f>
        <v>9780415777339</v>
      </c>
      <c r="D154" t="str">
        <f>"9780203888605"</f>
        <v>9780203888605</v>
      </c>
      <c r="E154" t="s">
        <v>19</v>
      </c>
      <c r="F154" t="s">
        <v>20</v>
      </c>
      <c r="G154" s="1">
        <v>39783</v>
      </c>
      <c r="H154" s="1">
        <v>39758</v>
      </c>
      <c r="I154">
        <v>1</v>
      </c>
      <c r="J154" t="s">
        <v>1361</v>
      </c>
      <c r="K154" t="s">
        <v>1362</v>
      </c>
      <c r="L154" t="s">
        <v>38</v>
      </c>
      <c r="M154" t="s">
        <v>1363</v>
      </c>
      <c r="N154">
        <v>302.2</v>
      </c>
      <c r="O154" t="s">
        <v>1364</v>
      </c>
      <c r="P154" t="s">
        <v>1365</v>
      </c>
    </row>
    <row r="155" spans="1:16" x14ac:dyDescent="0.35">
      <c r="A155">
        <v>362304</v>
      </c>
      <c r="B155" t="s">
        <v>1366</v>
      </c>
      <c r="C155" t="str">
        <f>"9780415428453"</f>
        <v>9780415428453</v>
      </c>
      <c r="D155" t="str">
        <f>"9780203891049"</f>
        <v>9780203891049</v>
      </c>
      <c r="E155" t="s">
        <v>19</v>
      </c>
      <c r="F155" t="s">
        <v>20</v>
      </c>
      <c r="G155" s="1">
        <v>39777</v>
      </c>
      <c r="H155" s="1">
        <v>39758</v>
      </c>
      <c r="I155">
        <v>1</v>
      </c>
      <c r="K155" t="s">
        <v>1367</v>
      </c>
      <c r="L155" t="s">
        <v>212</v>
      </c>
      <c r="M155" t="s">
        <v>1368</v>
      </c>
      <c r="N155">
        <v>362.29</v>
      </c>
      <c r="O155" t="s">
        <v>1369</v>
      </c>
      <c r="P155" t="s">
        <v>1370</v>
      </c>
    </row>
    <row r="156" spans="1:16" x14ac:dyDescent="0.35">
      <c r="A156">
        <v>366330</v>
      </c>
      <c r="B156" t="s">
        <v>1371</v>
      </c>
      <c r="C156" t="str">
        <f>"9780415962827"</f>
        <v>9780415962827</v>
      </c>
      <c r="D156" t="str">
        <f>"9780203887660"</f>
        <v>9780203887660</v>
      </c>
      <c r="E156" t="s">
        <v>19</v>
      </c>
      <c r="F156" t="s">
        <v>20</v>
      </c>
      <c r="G156" s="1">
        <v>39764</v>
      </c>
      <c r="H156" s="1">
        <v>39759</v>
      </c>
      <c r="I156">
        <v>2</v>
      </c>
      <c r="K156" t="s">
        <v>1372</v>
      </c>
      <c r="L156" t="s">
        <v>203</v>
      </c>
      <c r="M156" t="s">
        <v>1373</v>
      </c>
      <c r="N156">
        <v>794.8</v>
      </c>
      <c r="O156" t="s">
        <v>1374</v>
      </c>
      <c r="P156" t="s">
        <v>1375</v>
      </c>
    </row>
    <row r="157" spans="1:16" x14ac:dyDescent="0.35">
      <c r="A157">
        <v>366354</v>
      </c>
      <c r="B157" t="s">
        <v>1376</v>
      </c>
      <c r="C157" t="str">
        <f>"9780415466660"</f>
        <v>9780415466660</v>
      </c>
      <c r="D157" t="str">
        <f>"9780203888353"</f>
        <v>9780203888353</v>
      </c>
      <c r="E157" t="s">
        <v>19</v>
      </c>
      <c r="F157" t="s">
        <v>20</v>
      </c>
      <c r="G157" s="1">
        <v>39806</v>
      </c>
      <c r="H157" s="1">
        <v>39758</v>
      </c>
      <c r="I157">
        <v>1</v>
      </c>
      <c r="J157" t="s">
        <v>96</v>
      </c>
      <c r="K157" t="s">
        <v>1377</v>
      </c>
      <c r="L157" t="s">
        <v>34</v>
      </c>
      <c r="M157" t="s">
        <v>1378</v>
      </c>
      <c r="N157" t="s">
        <v>1379</v>
      </c>
      <c r="O157" t="s">
        <v>1380</v>
      </c>
      <c r="P157" t="s">
        <v>1381</v>
      </c>
    </row>
    <row r="158" spans="1:16" x14ac:dyDescent="0.35">
      <c r="A158">
        <v>367685</v>
      </c>
      <c r="B158" t="s">
        <v>1382</v>
      </c>
      <c r="C158" t="str">
        <f>"9780415476171"</f>
        <v>9780415476171</v>
      </c>
      <c r="D158" t="str">
        <f>"9780203887332"</f>
        <v>9780203887332</v>
      </c>
      <c r="E158" t="s">
        <v>19</v>
      </c>
      <c r="F158" t="s">
        <v>20</v>
      </c>
      <c r="G158" s="1">
        <v>39806</v>
      </c>
      <c r="H158" s="1">
        <v>39778</v>
      </c>
      <c r="I158">
        <v>1</v>
      </c>
      <c r="K158" t="s">
        <v>1383</v>
      </c>
      <c r="L158" t="s">
        <v>30</v>
      </c>
      <c r="M158" t="s">
        <v>1384</v>
      </c>
      <c r="N158" t="s">
        <v>223</v>
      </c>
      <c r="O158" t="s">
        <v>412</v>
      </c>
      <c r="P158" t="s">
        <v>1385</v>
      </c>
    </row>
    <row r="159" spans="1:16" x14ac:dyDescent="0.35">
      <c r="A159">
        <v>367698</v>
      </c>
      <c r="B159" t="s">
        <v>1386</v>
      </c>
      <c r="C159" t="str">
        <f>"9780805864717"</f>
        <v>9780805864717</v>
      </c>
      <c r="D159" t="str">
        <f>"9780203357217"</f>
        <v>9780203357217</v>
      </c>
      <c r="E159" t="s">
        <v>19</v>
      </c>
      <c r="F159" t="s">
        <v>20</v>
      </c>
      <c r="G159" s="1">
        <v>39778</v>
      </c>
      <c r="H159" s="1">
        <v>39792</v>
      </c>
      <c r="I159">
        <v>1</v>
      </c>
      <c r="K159" t="s">
        <v>1387</v>
      </c>
      <c r="L159" t="s">
        <v>30</v>
      </c>
      <c r="M159" t="s">
        <v>1388</v>
      </c>
      <c r="N159">
        <v>371.33</v>
      </c>
      <c r="O159" t="s">
        <v>1389</v>
      </c>
      <c r="P159" t="s">
        <v>1390</v>
      </c>
    </row>
    <row r="160" spans="1:16" x14ac:dyDescent="0.35">
      <c r="A160">
        <v>369078</v>
      </c>
      <c r="B160" t="s">
        <v>1391</v>
      </c>
      <c r="C160" t="str">
        <f>"9780415453356"</f>
        <v>9780415453356</v>
      </c>
      <c r="D160" t="str">
        <f>"9780203886007"</f>
        <v>9780203886007</v>
      </c>
      <c r="E160" t="s">
        <v>19</v>
      </c>
      <c r="F160" t="s">
        <v>20</v>
      </c>
      <c r="G160" s="1">
        <v>39821</v>
      </c>
      <c r="H160" s="1">
        <v>39792</v>
      </c>
      <c r="I160">
        <v>1</v>
      </c>
      <c r="J160" t="s">
        <v>221</v>
      </c>
      <c r="K160" t="s">
        <v>1392</v>
      </c>
      <c r="L160" t="s">
        <v>1393</v>
      </c>
      <c r="M160" t="s">
        <v>1394</v>
      </c>
      <c r="N160" t="s">
        <v>1395</v>
      </c>
      <c r="O160" t="s">
        <v>1396</v>
      </c>
      <c r="P160" t="s">
        <v>1397</v>
      </c>
    </row>
    <row r="161" spans="1:16" x14ac:dyDescent="0.35">
      <c r="A161">
        <v>369101</v>
      </c>
      <c r="B161" t="s">
        <v>1398</v>
      </c>
      <c r="C161" t="str">
        <f>"9780415464697"</f>
        <v>9780415464697</v>
      </c>
      <c r="D161" t="str">
        <f>"9780203885321"</f>
        <v>9780203885321</v>
      </c>
      <c r="E161" t="s">
        <v>19</v>
      </c>
      <c r="F161" t="s">
        <v>20</v>
      </c>
      <c r="G161" s="1">
        <v>39806</v>
      </c>
      <c r="H161" s="1">
        <v>39792</v>
      </c>
      <c r="I161">
        <v>1</v>
      </c>
      <c r="J161" t="s">
        <v>90</v>
      </c>
      <c r="K161" t="s">
        <v>1399</v>
      </c>
      <c r="L161" t="s">
        <v>41</v>
      </c>
      <c r="M161" t="s">
        <v>1400</v>
      </c>
      <c r="N161">
        <v>330.95100000000002</v>
      </c>
      <c r="O161" t="s">
        <v>1401</v>
      </c>
      <c r="P161" t="s">
        <v>1402</v>
      </c>
    </row>
    <row r="162" spans="1:16" x14ac:dyDescent="0.35">
      <c r="A162">
        <v>369112</v>
      </c>
      <c r="B162" t="s">
        <v>1403</v>
      </c>
      <c r="C162" t="str">
        <f>"9780415447638"</f>
        <v>9780415447638</v>
      </c>
      <c r="D162" t="str">
        <f>"9780203887073"</f>
        <v>9780203887073</v>
      </c>
      <c r="E162" t="s">
        <v>19</v>
      </c>
      <c r="F162" t="s">
        <v>20</v>
      </c>
      <c r="G162" s="1">
        <v>39786</v>
      </c>
      <c r="H162" s="1">
        <v>39792</v>
      </c>
      <c r="I162">
        <v>1</v>
      </c>
      <c r="K162" t="s">
        <v>1404</v>
      </c>
      <c r="L162" t="s">
        <v>203</v>
      </c>
      <c r="M162" t="s">
        <v>1405</v>
      </c>
      <c r="N162">
        <v>796.01</v>
      </c>
      <c r="O162" t="s">
        <v>1406</v>
      </c>
      <c r="P162" t="s">
        <v>1407</v>
      </c>
    </row>
    <row r="163" spans="1:16" x14ac:dyDescent="0.35">
      <c r="A163">
        <v>370928</v>
      </c>
      <c r="B163" t="s">
        <v>1408</v>
      </c>
      <c r="C163" t="str">
        <f>"9780415431606"</f>
        <v>9780415431606</v>
      </c>
      <c r="D163" t="str">
        <f>"9780203884829"</f>
        <v>9780203884829</v>
      </c>
      <c r="E163" t="s">
        <v>19</v>
      </c>
      <c r="F163" t="s">
        <v>20</v>
      </c>
      <c r="G163" s="1">
        <v>39842</v>
      </c>
      <c r="H163" s="1">
        <v>39793</v>
      </c>
      <c r="I163">
        <v>2</v>
      </c>
      <c r="K163" t="s">
        <v>1409</v>
      </c>
      <c r="L163" t="s">
        <v>38</v>
      </c>
      <c r="M163" t="s">
        <v>1410</v>
      </c>
      <c r="N163">
        <v>302.23</v>
      </c>
      <c r="O163" t="s">
        <v>1411</v>
      </c>
      <c r="P163" t="s">
        <v>1412</v>
      </c>
    </row>
    <row r="164" spans="1:16" x14ac:dyDescent="0.35">
      <c r="A164">
        <v>370929</v>
      </c>
      <c r="B164" t="s">
        <v>1413</v>
      </c>
      <c r="C164" t="str">
        <f>"9780415375405"</f>
        <v>9780415375405</v>
      </c>
      <c r="D164" t="str">
        <f>"9780203099056"</f>
        <v>9780203099056</v>
      </c>
      <c r="E164" t="s">
        <v>19</v>
      </c>
      <c r="F164" t="s">
        <v>20</v>
      </c>
      <c r="G164" s="1">
        <v>39827</v>
      </c>
      <c r="H164" s="1">
        <v>39792</v>
      </c>
      <c r="I164">
        <v>1</v>
      </c>
      <c r="J164" t="s">
        <v>1414</v>
      </c>
      <c r="K164" t="s">
        <v>1415</v>
      </c>
      <c r="L164" t="s">
        <v>256</v>
      </c>
      <c r="M164" t="s">
        <v>1416</v>
      </c>
      <c r="N164">
        <v>306.483</v>
      </c>
      <c r="O164" t="s">
        <v>1417</v>
      </c>
      <c r="P164" t="s">
        <v>1418</v>
      </c>
    </row>
    <row r="165" spans="1:16" x14ac:dyDescent="0.35">
      <c r="A165">
        <v>370945</v>
      </c>
      <c r="B165" t="s">
        <v>1419</v>
      </c>
      <c r="C165" t="str">
        <f>"9780415468800"</f>
        <v>9780415468800</v>
      </c>
      <c r="D165" t="str">
        <f>"9780203886649"</f>
        <v>9780203886649</v>
      </c>
      <c r="E165" t="s">
        <v>19</v>
      </c>
      <c r="F165" t="s">
        <v>20</v>
      </c>
      <c r="G165" s="1">
        <v>39827</v>
      </c>
      <c r="H165" s="1">
        <v>39792</v>
      </c>
      <c r="I165">
        <v>1</v>
      </c>
      <c r="J165" t="s">
        <v>137</v>
      </c>
      <c r="K165" t="s">
        <v>1420</v>
      </c>
      <c r="L165" t="s">
        <v>24</v>
      </c>
      <c r="M165" t="s">
        <v>1421</v>
      </c>
      <c r="N165" t="s">
        <v>372</v>
      </c>
      <c r="O165" t="s">
        <v>1422</v>
      </c>
      <c r="P165" t="s">
        <v>1423</v>
      </c>
    </row>
    <row r="166" spans="1:16" x14ac:dyDescent="0.35">
      <c r="A166">
        <v>370967</v>
      </c>
      <c r="B166" t="s">
        <v>1424</v>
      </c>
      <c r="C166" t="str">
        <f>"9780415454490"</f>
        <v>9780415454490</v>
      </c>
      <c r="D166" t="str">
        <f>"9780203885031"</f>
        <v>9780203885031</v>
      </c>
      <c r="E166" t="s">
        <v>19</v>
      </c>
      <c r="F166" t="s">
        <v>20</v>
      </c>
      <c r="G166" s="1">
        <v>39827</v>
      </c>
      <c r="H166" s="1">
        <v>39822</v>
      </c>
      <c r="I166">
        <v>1</v>
      </c>
      <c r="J166" t="s">
        <v>1425</v>
      </c>
      <c r="K166" t="s">
        <v>1426</v>
      </c>
      <c r="L166" t="s">
        <v>288</v>
      </c>
      <c r="M166" t="s">
        <v>1427</v>
      </c>
      <c r="N166">
        <v>363.69</v>
      </c>
      <c r="O166" t="s">
        <v>1428</v>
      </c>
      <c r="P166" t="s">
        <v>1429</v>
      </c>
    </row>
    <row r="167" spans="1:16" x14ac:dyDescent="0.35">
      <c r="A167">
        <v>370969</v>
      </c>
      <c r="B167" t="s">
        <v>1430</v>
      </c>
      <c r="C167" t="str">
        <f>"9780415378185"</f>
        <v>9780415378185</v>
      </c>
      <c r="D167" t="str">
        <f>"9780203099360"</f>
        <v>9780203099360</v>
      </c>
      <c r="E167" t="s">
        <v>19</v>
      </c>
      <c r="F167" t="s">
        <v>20</v>
      </c>
      <c r="G167" s="1">
        <v>39842</v>
      </c>
      <c r="H167" s="1">
        <v>39792</v>
      </c>
      <c r="I167">
        <v>1</v>
      </c>
      <c r="K167" t="s">
        <v>1431</v>
      </c>
      <c r="L167" t="s">
        <v>203</v>
      </c>
      <c r="M167" t="s">
        <v>1432</v>
      </c>
      <c r="N167">
        <v>796.08699999999999</v>
      </c>
      <c r="O167" t="s">
        <v>1433</v>
      </c>
      <c r="P167" t="s">
        <v>1434</v>
      </c>
    </row>
    <row r="168" spans="1:16" x14ac:dyDescent="0.35">
      <c r="A168">
        <v>370981</v>
      </c>
      <c r="B168" t="s">
        <v>1435</v>
      </c>
      <c r="C168" t="str">
        <f>"9780415443456"</f>
        <v>9780415443456</v>
      </c>
      <c r="D168" t="str">
        <f>"9780203883686"</f>
        <v>9780203883686</v>
      </c>
      <c r="E168" t="s">
        <v>19</v>
      </c>
      <c r="F168" t="s">
        <v>20</v>
      </c>
      <c r="G168" s="1">
        <v>39804</v>
      </c>
      <c r="H168" s="1">
        <v>39792</v>
      </c>
      <c r="I168">
        <v>1</v>
      </c>
      <c r="J168" t="s">
        <v>1436</v>
      </c>
      <c r="K168" t="s">
        <v>1437</v>
      </c>
      <c r="L168" t="s">
        <v>23</v>
      </c>
      <c r="M168" t="s">
        <v>1438</v>
      </c>
      <c r="N168" t="s">
        <v>1439</v>
      </c>
      <c r="O168" t="s">
        <v>1440</v>
      </c>
      <c r="P168" t="s">
        <v>1441</v>
      </c>
    </row>
    <row r="169" spans="1:16" x14ac:dyDescent="0.35">
      <c r="A169">
        <v>371026</v>
      </c>
      <c r="B169" t="s">
        <v>1442</v>
      </c>
      <c r="C169" t="str">
        <f>"9780805855760"</f>
        <v>9780805855760</v>
      </c>
      <c r="D169" t="str">
        <f>"9780203887363"</f>
        <v>9780203887363</v>
      </c>
      <c r="E169" t="s">
        <v>19</v>
      </c>
      <c r="F169" t="s">
        <v>20</v>
      </c>
      <c r="G169" s="1">
        <v>39792</v>
      </c>
      <c r="H169" s="1">
        <v>39792</v>
      </c>
      <c r="I169">
        <v>1</v>
      </c>
      <c r="K169" t="s">
        <v>1443</v>
      </c>
      <c r="L169" t="s">
        <v>1444</v>
      </c>
      <c r="M169" t="s">
        <v>1445</v>
      </c>
      <c r="N169">
        <v>502.82499999999999</v>
      </c>
      <c r="O169" t="s">
        <v>538</v>
      </c>
      <c r="P169" t="s">
        <v>1446</v>
      </c>
    </row>
    <row r="170" spans="1:16" x14ac:dyDescent="0.35">
      <c r="A170">
        <v>380827</v>
      </c>
      <c r="B170" t="s">
        <v>1447</v>
      </c>
      <c r="C170" t="str">
        <f>"9780415990318"</f>
        <v>9780415990318</v>
      </c>
      <c r="D170" t="str">
        <f>"9780203882498"</f>
        <v>9780203882498</v>
      </c>
      <c r="E170" t="s">
        <v>19</v>
      </c>
      <c r="F170" t="s">
        <v>20</v>
      </c>
      <c r="G170" s="1">
        <v>39793</v>
      </c>
      <c r="H170" s="1">
        <v>39822</v>
      </c>
      <c r="I170">
        <v>1</v>
      </c>
      <c r="J170" t="s">
        <v>1448</v>
      </c>
      <c r="K170" t="s">
        <v>1449</v>
      </c>
      <c r="L170" t="s">
        <v>41</v>
      </c>
      <c r="M170" t="s">
        <v>1450</v>
      </c>
      <c r="N170" t="s">
        <v>1451</v>
      </c>
      <c r="O170" t="s">
        <v>1452</v>
      </c>
      <c r="P170" t="s">
        <v>1453</v>
      </c>
    </row>
    <row r="171" spans="1:16" x14ac:dyDescent="0.35">
      <c r="A171">
        <v>380830</v>
      </c>
      <c r="B171" t="s">
        <v>1454</v>
      </c>
      <c r="C171" t="str">
        <f>"9780415965170"</f>
        <v>9780415965170</v>
      </c>
      <c r="D171" t="str">
        <f>"9780203883884"</f>
        <v>9780203883884</v>
      </c>
      <c r="E171" t="s">
        <v>19</v>
      </c>
      <c r="F171" t="s">
        <v>20</v>
      </c>
      <c r="G171" s="1">
        <v>39801</v>
      </c>
      <c r="H171" s="1">
        <v>39822</v>
      </c>
      <c r="I171">
        <v>1</v>
      </c>
      <c r="J171" t="s">
        <v>1455</v>
      </c>
      <c r="K171" t="s">
        <v>1456</v>
      </c>
      <c r="L171" t="s">
        <v>33</v>
      </c>
      <c r="M171" t="s">
        <v>1457</v>
      </c>
      <c r="N171" t="s">
        <v>527</v>
      </c>
      <c r="O171" t="s">
        <v>1458</v>
      </c>
      <c r="P171" t="s">
        <v>1459</v>
      </c>
    </row>
    <row r="172" spans="1:16" x14ac:dyDescent="0.35">
      <c r="A172">
        <v>380873</v>
      </c>
      <c r="B172" t="s">
        <v>1460</v>
      </c>
      <c r="C172" t="str">
        <f>"9780415962063"</f>
        <v>9780415962063</v>
      </c>
      <c r="D172" t="str">
        <f>"9780203883976"</f>
        <v>9780203883976</v>
      </c>
      <c r="E172" t="s">
        <v>19</v>
      </c>
      <c r="F172" t="s">
        <v>20</v>
      </c>
      <c r="G172" s="1">
        <v>39794</v>
      </c>
      <c r="H172" s="1">
        <v>39822</v>
      </c>
      <c r="I172">
        <v>1</v>
      </c>
      <c r="J172" t="s">
        <v>878</v>
      </c>
      <c r="K172" t="s">
        <v>1461</v>
      </c>
      <c r="L172" t="s">
        <v>26</v>
      </c>
      <c r="M172" t="s">
        <v>1462</v>
      </c>
      <c r="N172">
        <v>331.89095099999997</v>
      </c>
      <c r="O172" t="s">
        <v>1463</v>
      </c>
      <c r="P172" t="s">
        <v>1464</v>
      </c>
    </row>
    <row r="173" spans="1:16" x14ac:dyDescent="0.35">
      <c r="A173">
        <v>401821</v>
      </c>
      <c r="B173" t="s">
        <v>1465</v>
      </c>
      <c r="C173" t="str">
        <f>"9780415431248"</f>
        <v>9780415431248</v>
      </c>
      <c r="D173" t="str">
        <f>"9780203885987"</f>
        <v>9780203885987</v>
      </c>
      <c r="E173" t="s">
        <v>19</v>
      </c>
      <c r="F173" t="s">
        <v>20</v>
      </c>
      <c r="G173" s="1">
        <v>39842</v>
      </c>
      <c r="H173" s="1">
        <v>39822</v>
      </c>
      <c r="I173">
        <v>2</v>
      </c>
      <c r="K173" t="s">
        <v>1466</v>
      </c>
      <c r="L173" t="s">
        <v>1467</v>
      </c>
      <c r="M173" t="s">
        <v>1468</v>
      </c>
      <c r="N173">
        <v>362.29</v>
      </c>
      <c r="O173" t="s">
        <v>1469</v>
      </c>
      <c r="P173" t="s">
        <v>1470</v>
      </c>
    </row>
    <row r="174" spans="1:16" x14ac:dyDescent="0.35">
      <c r="A174">
        <v>401859</v>
      </c>
      <c r="B174" t="s">
        <v>1471</v>
      </c>
      <c r="C174" t="str">
        <f>"9780415378772"</f>
        <v>9780415378772</v>
      </c>
      <c r="D174" t="str">
        <f>"9780203099384"</f>
        <v>9780203099384</v>
      </c>
      <c r="E174" t="s">
        <v>19</v>
      </c>
      <c r="F174" t="s">
        <v>20</v>
      </c>
      <c r="G174" s="1">
        <v>39791</v>
      </c>
      <c r="H174" s="1">
        <v>39822</v>
      </c>
      <c r="I174">
        <v>1</v>
      </c>
      <c r="K174" t="s">
        <v>1472</v>
      </c>
      <c r="L174" t="s">
        <v>203</v>
      </c>
      <c r="M174" t="s">
        <v>1473</v>
      </c>
      <c r="N174">
        <v>796.01</v>
      </c>
      <c r="O174" t="s">
        <v>241</v>
      </c>
      <c r="P174" t="s">
        <v>1474</v>
      </c>
    </row>
    <row r="175" spans="1:16" x14ac:dyDescent="0.35">
      <c r="A175">
        <v>408917</v>
      </c>
      <c r="B175" t="s">
        <v>1475</v>
      </c>
      <c r="C175" t="str">
        <f>"9780415343756"</f>
        <v>9780415343756</v>
      </c>
      <c r="D175" t="str">
        <f>"9780203639672"</f>
        <v>9780203639672</v>
      </c>
      <c r="E175" t="s">
        <v>19</v>
      </c>
      <c r="F175" t="s">
        <v>20</v>
      </c>
      <c r="G175" s="1">
        <v>39884</v>
      </c>
      <c r="H175" s="1">
        <v>39869</v>
      </c>
      <c r="I175">
        <v>1</v>
      </c>
      <c r="K175" t="s">
        <v>1476</v>
      </c>
      <c r="L175" t="s">
        <v>61</v>
      </c>
      <c r="M175" t="s">
        <v>1477</v>
      </c>
      <c r="N175">
        <v>720.1</v>
      </c>
      <c r="O175" t="s">
        <v>1478</v>
      </c>
      <c r="P175" t="s">
        <v>1479</v>
      </c>
    </row>
    <row r="176" spans="1:16" x14ac:dyDescent="0.35">
      <c r="A176">
        <v>411014</v>
      </c>
      <c r="B176" t="s">
        <v>1480</v>
      </c>
      <c r="C176" t="str">
        <f>"9780415370097"</f>
        <v>9780415370097</v>
      </c>
      <c r="D176" t="str">
        <f>"9780203928028"</f>
        <v>9780203928028</v>
      </c>
      <c r="E176" t="s">
        <v>57</v>
      </c>
      <c r="F176" t="s">
        <v>20</v>
      </c>
      <c r="G176" s="1">
        <v>39905</v>
      </c>
      <c r="H176" s="1">
        <v>39869</v>
      </c>
      <c r="I176">
        <v>1</v>
      </c>
      <c r="K176" t="s">
        <v>1481</v>
      </c>
      <c r="L176" t="s">
        <v>84</v>
      </c>
      <c r="M176" t="s">
        <v>1482</v>
      </c>
      <c r="N176" t="s">
        <v>1483</v>
      </c>
      <c r="O176" t="s">
        <v>1484</v>
      </c>
      <c r="P176" t="s">
        <v>1485</v>
      </c>
    </row>
    <row r="177" spans="1:16" x14ac:dyDescent="0.35">
      <c r="A177">
        <v>412927</v>
      </c>
      <c r="B177" t="s">
        <v>1486</v>
      </c>
      <c r="C177" t="str">
        <f>"9780415476775"</f>
        <v>9780415476775</v>
      </c>
      <c r="D177" t="str">
        <f>"9780203882382"</f>
        <v>9780203882382</v>
      </c>
      <c r="E177" t="s">
        <v>20</v>
      </c>
      <c r="F177" t="s">
        <v>20</v>
      </c>
      <c r="G177" s="1">
        <v>41675</v>
      </c>
      <c r="H177" s="1">
        <v>39893</v>
      </c>
      <c r="I177">
        <v>1</v>
      </c>
      <c r="K177" t="s">
        <v>1487</v>
      </c>
      <c r="L177" t="s">
        <v>27</v>
      </c>
      <c r="M177" t="s">
        <v>1488</v>
      </c>
      <c r="N177" t="s">
        <v>390</v>
      </c>
      <c r="O177" t="s">
        <v>1489</v>
      </c>
      <c r="P177" t="s">
        <v>1490</v>
      </c>
    </row>
    <row r="178" spans="1:16" x14ac:dyDescent="0.35">
      <c r="A178">
        <v>425318</v>
      </c>
      <c r="B178" t="s">
        <v>1491</v>
      </c>
      <c r="C178" t="str">
        <f>"9780805839968"</f>
        <v>9780805839968</v>
      </c>
      <c r="D178" t="str">
        <f>"9780203937105"</f>
        <v>9780203937105</v>
      </c>
      <c r="E178" t="s">
        <v>20</v>
      </c>
      <c r="F178" t="s">
        <v>20</v>
      </c>
      <c r="G178" s="1">
        <v>39169</v>
      </c>
      <c r="H178" s="1">
        <v>39920</v>
      </c>
      <c r="I178">
        <v>1</v>
      </c>
      <c r="K178" t="s">
        <v>1492</v>
      </c>
      <c r="L178" t="s">
        <v>24</v>
      </c>
      <c r="M178">
        <v>2006034032</v>
      </c>
      <c r="N178">
        <v>808.06659999999999</v>
      </c>
      <c r="O178" t="s">
        <v>1493</v>
      </c>
      <c r="P178" t="s">
        <v>1494</v>
      </c>
    </row>
    <row r="179" spans="1:16" x14ac:dyDescent="0.35">
      <c r="A179">
        <v>425356</v>
      </c>
      <c r="B179" t="s">
        <v>1495</v>
      </c>
      <c r="C179" t="str">
        <f>"9780805853551"</f>
        <v>9780805853551</v>
      </c>
      <c r="D179" t="str">
        <f>"9780203936313"</f>
        <v>9780203936313</v>
      </c>
      <c r="E179" t="s">
        <v>19</v>
      </c>
      <c r="F179" t="s">
        <v>20</v>
      </c>
      <c r="G179" s="1">
        <v>39142</v>
      </c>
      <c r="H179" s="1">
        <v>39920</v>
      </c>
      <c r="I179">
        <v>1</v>
      </c>
      <c r="J179" t="s">
        <v>833</v>
      </c>
      <c r="K179" t="s">
        <v>1496</v>
      </c>
      <c r="L179" t="s">
        <v>38</v>
      </c>
      <c r="M179">
        <v>2006012793</v>
      </c>
      <c r="N179">
        <v>302.2</v>
      </c>
      <c r="O179" t="s">
        <v>1497</v>
      </c>
      <c r="P179" t="s">
        <v>1498</v>
      </c>
    </row>
    <row r="180" spans="1:16" x14ac:dyDescent="0.35">
      <c r="A180">
        <v>425373</v>
      </c>
      <c r="B180" t="s">
        <v>1499</v>
      </c>
      <c r="C180" t="str">
        <f>"9780415369305"</f>
        <v>9780415369305</v>
      </c>
      <c r="D180" t="str">
        <f>"9780203872062"</f>
        <v>9780203872062</v>
      </c>
      <c r="E180" t="s">
        <v>19</v>
      </c>
      <c r="F180" t="s">
        <v>20</v>
      </c>
      <c r="G180" s="1">
        <v>39791</v>
      </c>
      <c r="H180" s="1">
        <v>39920</v>
      </c>
      <c r="I180">
        <v>2</v>
      </c>
      <c r="K180" t="s">
        <v>1500</v>
      </c>
      <c r="L180" t="s">
        <v>35</v>
      </c>
      <c r="M180" t="s">
        <v>1501</v>
      </c>
      <c r="N180" t="s">
        <v>1502</v>
      </c>
      <c r="O180" t="s">
        <v>1503</v>
      </c>
      <c r="P180" t="s">
        <v>1504</v>
      </c>
    </row>
    <row r="181" spans="1:16" x14ac:dyDescent="0.35">
      <c r="A181">
        <v>425404</v>
      </c>
      <c r="B181" t="s">
        <v>1505</v>
      </c>
      <c r="C181" t="str">
        <f>"9780805858563"</f>
        <v>9780805858563</v>
      </c>
      <c r="D181" t="str">
        <f>"9780203877166"</f>
        <v>9780203877166</v>
      </c>
      <c r="E181" t="s">
        <v>19</v>
      </c>
      <c r="F181" t="s">
        <v>20</v>
      </c>
      <c r="G181" s="1">
        <v>39325</v>
      </c>
      <c r="H181" s="1">
        <v>39920</v>
      </c>
      <c r="I181">
        <v>1</v>
      </c>
      <c r="K181" t="s">
        <v>1506</v>
      </c>
      <c r="L181" t="s">
        <v>51</v>
      </c>
      <c r="M181" t="s">
        <v>1507</v>
      </c>
      <c r="N181">
        <v>370.15</v>
      </c>
      <c r="O181" t="s">
        <v>1508</v>
      </c>
      <c r="P181" t="s">
        <v>1509</v>
      </c>
    </row>
    <row r="182" spans="1:16" x14ac:dyDescent="0.35">
      <c r="A182">
        <v>425463</v>
      </c>
      <c r="B182" t="s">
        <v>1510</v>
      </c>
      <c r="C182" t="str">
        <f>"9780789001412"</f>
        <v>9780789001412</v>
      </c>
      <c r="D182" t="str">
        <f>"9780203884690"</f>
        <v>9780203884690</v>
      </c>
      <c r="E182" t="s">
        <v>19</v>
      </c>
      <c r="F182" t="s">
        <v>20</v>
      </c>
      <c r="G182" s="1">
        <v>39909</v>
      </c>
      <c r="H182" s="1">
        <v>39920</v>
      </c>
      <c r="I182">
        <v>1</v>
      </c>
      <c r="J182" t="s">
        <v>101</v>
      </c>
      <c r="K182" t="s">
        <v>1511</v>
      </c>
      <c r="L182" t="s">
        <v>28</v>
      </c>
      <c r="M182" t="s">
        <v>1512</v>
      </c>
      <c r="N182">
        <v>658.80096690000005</v>
      </c>
      <c r="O182" t="s">
        <v>1513</v>
      </c>
      <c r="P182" t="s">
        <v>1514</v>
      </c>
    </row>
    <row r="183" spans="1:16" x14ac:dyDescent="0.35">
      <c r="A183">
        <v>432742</v>
      </c>
      <c r="B183" t="s">
        <v>1515</v>
      </c>
      <c r="C183" t="str">
        <f>"9780805863482"</f>
        <v>9780805863482</v>
      </c>
      <c r="D183" t="str">
        <f>"9780203866986"</f>
        <v>9780203866986</v>
      </c>
      <c r="E183" t="s">
        <v>19</v>
      </c>
      <c r="F183" t="s">
        <v>20</v>
      </c>
      <c r="G183" s="1">
        <v>39755</v>
      </c>
      <c r="H183" s="1">
        <v>39996</v>
      </c>
      <c r="I183">
        <v>1</v>
      </c>
      <c r="K183" t="s">
        <v>1516</v>
      </c>
      <c r="L183" t="s">
        <v>123</v>
      </c>
      <c r="M183" t="s">
        <v>1517</v>
      </c>
      <c r="N183" t="s">
        <v>439</v>
      </c>
      <c r="O183" t="s">
        <v>1518</v>
      </c>
      <c r="P183" t="s">
        <v>1519</v>
      </c>
    </row>
    <row r="184" spans="1:16" x14ac:dyDescent="0.35">
      <c r="A184">
        <v>432747</v>
      </c>
      <c r="B184" t="s">
        <v>1520</v>
      </c>
      <c r="C184" t="str">
        <f>"9780415470414"</f>
        <v>9780415470414</v>
      </c>
      <c r="D184" t="str">
        <f>"9780203889732"</f>
        <v>9780203889732</v>
      </c>
      <c r="E184" t="s">
        <v>19</v>
      </c>
      <c r="F184" t="s">
        <v>20</v>
      </c>
      <c r="G184" s="1">
        <v>39786</v>
      </c>
      <c r="H184" s="1">
        <v>39996</v>
      </c>
      <c r="I184">
        <v>1</v>
      </c>
      <c r="J184" t="s">
        <v>388</v>
      </c>
      <c r="K184" t="s">
        <v>1521</v>
      </c>
      <c r="L184" t="s">
        <v>203</v>
      </c>
      <c r="M184" t="s">
        <v>1522</v>
      </c>
      <c r="N184">
        <v>796.08699999999999</v>
      </c>
      <c r="O184" t="s">
        <v>1523</v>
      </c>
      <c r="P184" t="s">
        <v>1524</v>
      </c>
    </row>
    <row r="185" spans="1:16" x14ac:dyDescent="0.35">
      <c r="A185">
        <v>432784</v>
      </c>
      <c r="B185" t="s">
        <v>1525</v>
      </c>
      <c r="C185" t="str">
        <f>"9780415453264"</f>
        <v>9780415453264</v>
      </c>
      <c r="D185" t="str">
        <f>"9780203868690"</f>
        <v>9780203868690</v>
      </c>
      <c r="E185" t="s">
        <v>19</v>
      </c>
      <c r="F185" t="s">
        <v>20</v>
      </c>
      <c r="G185" s="1">
        <v>39514</v>
      </c>
      <c r="H185" s="1">
        <v>40577</v>
      </c>
      <c r="I185">
        <v>1</v>
      </c>
      <c r="J185" t="s">
        <v>82</v>
      </c>
      <c r="K185" t="s">
        <v>1526</v>
      </c>
      <c r="L185" t="s">
        <v>22</v>
      </c>
      <c r="M185" t="s">
        <v>1527</v>
      </c>
      <c r="N185" t="s">
        <v>107</v>
      </c>
      <c r="O185" t="s">
        <v>1528</v>
      </c>
      <c r="P185" t="s">
        <v>1529</v>
      </c>
    </row>
    <row r="186" spans="1:16" x14ac:dyDescent="0.35">
      <c r="A186">
        <v>446781</v>
      </c>
      <c r="B186" t="s">
        <v>1530</v>
      </c>
      <c r="C186" t="str">
        <f>"9780415958103"</f>
        <v>9780415958103</v>
      </c>
      <c r="D186" t="str">
        <f>"9780203939574"</f>
        <v>9780203939574</v>
      </c>
      <c r="E186" t="s">
        <v>19</v>
      </c>
      <c r="F186" t="s">
        <v>20</v>
      </c>
      <c r="G186" s="1">
        <v>39366</v>
      </c>
      <c r="H186" s="1">
        <v>40037</v>
      </c>
      <c r="I186">
        <v>1</v>
      </c>
      <c r="K186" t="s">
        <v>485</v>
      </c>
      <c r="L186" t="s">
        <v>30</v>
      </c>
      <c r="M186" t="s">
        <v>1531</v>
      </c>
      <c r="N186" t="s">
        <v>1532</v>
      </c>
      <c r="O186" t="s">
        <v>1533</v>
      </c>
      <c r="P186" t="s">
        <v>1534</v>
      </c>
    </row>
    <row r="187" spans="1:16" x14ac:dyDescent="0.35">
      <c r="A187">
        <v>668264</v>
      </c>
      <c r="B187" t="s">
        <v>1535</v>
      </c>
      <c r="C187" t="str">
        <f>"9780415589864"</f>
        <v>9780415589864</v>
      </c>
      <c r="D187" t="str">
        <f>"9780203839492"</f>
        <v>9780203839492</v>
      </c>
      <c r="E187" t="s">
        <v>19</v>
      </c>
      <c r="F187" t="s">
        <v>20</v>
      </c>
      <c r="G187" s="1">
        <v>40556</v>
      </c>
      <c r="H187" s="1">
        <v>41085</v>
      </c>
      <c r="I187">
        <v>1</v>
      </c>
      <c r="J187" t="s">
        <v>157</v>
      </c>
      <c r="K187" t="s">
        <v>1536</v>
      </c>
      <c r="L187" t="s">
        <v>41</v>
      </c>
      <c r="M187" t="s">
        <v>1537</v>
      </c>
      <c r="N187" t="s">
        <v>181</v>
      </c>
      <c r="O187" t="s">
        <v>1538</v>
      </c>
      <c r="P187" t="s">
        <v>1539</v>
      </c>
    </row>
    <row r="188" spans="1:16" x14ac:dyDescent="0.35">
      <c r="A188">
        <v>1447131</v>
      </c>
      <c r="B188" t="s">
        <v>1540</v>
      </c>
      <c r="C188" t="str">
        <f>"9781566706766"</f>
        <v>9781566706766</v>
      </c>
      <c r="D188" t="str">
        <f>"9781135460976"</f>
        <v>9781135460976</v>
      </c>
      <c r="E188" t="s">
        <v>19</v>
      </c>
      <c r="F188" t="s">
        <v>55</v>
      </c>
      <c r="G188" s="1">
        <v>38547</v>
      </c>
      <c r="H188" s="1">
        <v>42056</v>
      </c>
      <c r="I188">
        <v>2</v>
      </c>
      <c r="K188" t="s">
        <v>1541</v>
      </c>
      <c r="L188" t="s">
        <v>104</v>
      </c>
      <c r="M188" t="s">
        <v>1542</v>
      </c>
      <c r="N188">
        <v>628.5</v>
      </c>
      <c r="O188" t="s">
        <v>1543</v>
      </c>
      <c r="P188" t="s">
        <v>1544</v>
      </c>
    </row>
    <row r="189" spans="1:16" x14ac:dyDescent="0.35">
      <c r="A189">
        <v>2010224</v>
      </c>
      <c r="B189" t="s">
        <v>1545</v>
      </c>
      <c r="C189" t="str">
        <f>"9781566706810"</f>
        <v>9781566706810</v>
      </c>
      <c r="D189" t="str">
        <f>"9780203492109"</f>
        <v>9780203492109</v>
      </c>
      <c r="E189" t="s">
        <v>19</v>
      </c>
      <c r="F189" t="s">
        <v>55</v>
      </c>
      <c r="G189" s="1">
        <v>38314</v>
      </c>
      <c r="H189" s="1">
        <v>42191</v>
      </c>
      <c r="I189">
        <v>1</v>
      </c>
      <c r="K189" t="s">
        <v>1546</v>
      </c>
      <c r="L189" t="s">
        <v>104</v>
      </c>
      <c r="M189" t="s">
        <v>1547</v>
      </c>
      <c r="N189">
        <v>628.01509999999996</v>
      </c>
      <c r="O189" t="s">
        <v>1548</v>
      </c>
      <c r="P189" t="s">
        <v>1549</v>
      </c>
    </row>
    <row r="190" spans="1:16" x14ac:dyDescent="0.35">
      <c r="A190">
        <v>2010277</v>
      </c>
      <c r="B190" t="s">
        <v>1550</v>
      </c>
      <c r="C190" t="str">
        <f>"9780849338328"</f>
        <v>9780849338328</v>
      </c>
      <c r="D190" t="str">
        <f>"9780203025314"</f>
        <v>9780203025314</v>
      </c>
      <c r="E190" t="s">
        <v>19</v>
      </c>
      <c r="F190" t="s">
        <v>55</v>
      </c>
      <c r="G190" s="1">
        <v>38656</v>
      </c>
      <c r="H190" s="1">
        <v>42114</v>
      </c>
      <c r="I190">
        <v>1</v>
      </c>
      <c r="K190" t="s">
        <v>1551</v>
      </c>
      <c r="L190" t="s">
        <v>166</v>
      </c>
      <c r="M190" t="s">
        <v>1552</v>
      </c>
      <c r="N190">
        <v>621.38199999999995</v>
      </c>
      <c r="O190" t="s">
        <v>1553</v>
      </c>
      <c r="P190" t="s">
        <v>1554</v>
      </c>
    </row>
    <row r="191" spans="1:16" x14ac:dyDescent="0.35">
      <c r="A191">
        <v>2010283</v>
      </c>
      <c r="B191" t="s">
        <v>1555</v>
      </c>
      <c r="C191" t="str">
        <f>"9780849318238"</f>
        <v>9780849318238</v>
      </c>
      <c r="D191" t="str">
        <f>"9780203500705"</f>
        <v>9780203500705</v>
      </c>
      <c r="E191" t="s">
        <v>143</v>
      </c>
      <c r="F191" t="s">
        <v>143</v>
      </c>
      <c r="G191" s="1">
        <v>37859</v>
      </c>
      <c r="H191" s="1">
        <v>42114</v>
      </c>
      <c r="I191">
        <v>1</v>
      </c>
      <c r="J191" t="s">
        <v>518</v>
      </c>
      <c r="K191" t="s">
        <v>1556</v>
      </c>
      <c r="L191" t="s">
        <v>175</v>
      </c>
      <c r="M191" t="s">
        <v>1557</v>
      </c>
      <c r="N191" t="s">
        <v>529</v>
      </c>
      <c r="O191" t="s">
        <v>1558</v>
      </c>
      <c r="P191" t="s">
        <v>1559</v>
      </c>
    </row>
    <row r="192" spans="1:16" x14ac:dyDescent="0.35">
      <c r="A192">
        <v>2010350</v>
      </c>
      <c r="B192" t="s">
        <v>1560</v>
      </c>
      <c r="C192" t="str">
        <f>"9781584883104"</f>
        <v>9781584883104</v>
      </c>
      <c r="D192" t="str">
        <f>"9780203998106"</f>
        <v>9780203998106</v>
      </c>
      <c r="E192" t="s">
        <v>57</v>
      </c>
      <c r="F192" t="s">
        <v>55</v>
      </c>
      <c r="G192" s="1">
        <v>37634</v>
      </c>
      <c r="H192" s="1">
        <v>37634</v>
      </c>
      <c r="J192" t="s">
        <v>1561</v>
      </c>
      <c r="K192" t="s">
        <v>1562</v>
      </c>
      <c r="L192" t="s">
        <v>225</v>
      </c>
      <c r="M192" t="s">
        <v>1563</v>
      </c>
      <c r="N192" t="s">
        <v>1564</v>
      </c>
      <c r="O192" t="s">
        <v>1565</v>
      </c>
      <c r="P192" t="s">
        <v>1566</v>
      </c>
    </row>
    <row r="193" spans="1:16" x14ac:dyDescent="0.35">
      <c r="A193">
        <v>2010393</v>
      </c>
      <c r="B193" t="s">
        <v>1567</v>
      </c>
      <c r="C193" t="str">
        <f>"9781584884385"</f>
        <v>9781584884385</v>
      </c>
      <c r="D193" t="str">
        <f>"9780203488041"</f>
        <v>9780203488041</v>
      </c>
      <c r="E193" t="s">
        <v>57</v>
      </c>
      <c r="F193" t="s">
        <v>145</v>
      </c>
      <c r="G193" s="1">
        <v>37830</v>
      </c>
      <c r="H193" s="1">
        <v>42114</v>
      </c>
      <c r="I193">
        <v>1</v>
      </c>
      <c r="J193" t="s">
        <v>1568</v>
      </c>
      <c r="K193" t="s">
        <v>1569</v>
      </c>
      <c r="L193" t="s">
        <v>162</v>
      </c>
      <c r="M193" t="s">
        <v>1570</v>
      </c>
      <c r="N193">
        <v>620.00149999999996</v>
      </c>
      <c r="O193" t="s">
        <v>1571</v>
      </c>
      <c r="P193" t="s">
        <v>1572</v>
      </c>
    </row>
    <row r="194" spans="1:16" x14ac:dyDescent="0.35">
      <c r="A194">
        <v>2010473</v>
      </c>
      <c r="B194" t="s">
        <v>1573</v>
      </c>
      <c r="C194" t="str">
        <f>"9780849319686"</f>
        <v>9780849319686</v>
      </c>
      <c r="D194" t="str">
        <f>"9780203489635"</f>
        <v>9780203489635</v>
      </c>
      <c r="E194" t="s">
        <v>57</v>
      </c>
      <c r="F194" t="s">
        <v>57</v>
      </c>
      <c r="G194" s="1">
        <v>38196</v>
      </c>
      <c r="H194" s="1">
        <v>42114</v>
      </c>
      <c r="I194">
        <v>1</v>
      </c>
      <c r="K194" t="s">
        <v>270</v>
      </c>
      <c r="L194" t="s">
        <v>224</v>
      </c>
      <c r="M194" t="s">
        <v>1574</v>
      </c>
      <c r="N194">
        <v>4.68</v>
      </c>
      <c r="O194" t="s">
        <v>1558</v>
      </c>
      <c r="P194" t="s">
        <v>1575</v>
      </c>
    </row>
    <row r="195" spans="1:16" x14ac:dyDescent="0.35">
      <c r="A195">
        <v>3059342</v>
      </c>
      <c r="B195" t="s">
        <v>1576</v>
      </c>
      <c r="C195" t="str">
        <f>"9780849317323"</f>
        <v>9780849317323</v>
      </c>
      <c r="D195" t="str">
        <f>"9780203503744"</f>
        <v>9780203503744</v>
      </c>
      <c r="E195" t="s">
        <v>57</v>
      </c>
      <c r="F195" t="s">
        <v>57</v>
      </c>
      <c r="G195" s="1">
        <v>37799</v>
      </c>
      <c r="H195" s="1">
        <v>39037</v>
      </c>
      <c r="I195">
        <v>1</v>
      </c>
      <c r="J195" t="s">
        <v>505</v>
      </c>
      <c r="K195" t="s">
        <v>1577</v>
      </c>
      <c r="L195" t="s">
        <v>141</v>
      </c>
      <c r="M195" t="s">
        <v>1578</v>
      </c>
      <c r="N195">
        <v>621.38199999999995</v>
      </c>
      <c r="O195" t="s">
        <v>1579</v>
      </c>
      <c r="P195" t="s">
        <v>1580</v>
      </c>
    </row>
    <row r="196" spans="1:16" x14ac:dyDescent="0.35">
      <c r="A196">
        <v>4672997</v>
      </c>
      <c r="B196" t="s">
        <v>1581</v>
      </c>
      <c r="C196" t="str">
        <f>"9780802099600"</f>
        <v>9780802099600</v>
      </c>
      <c r="D196" t="str">
        <f>"9781442698703"</f>
        <v>9781442698703</v>
      </c>
      <c r="E196" t="s">
        <v>523</v>
      </c>
      <c r="F196" t="s">
        <v>523</v>
      </c>
      <c r="G196" s="1">
        <v>40222</v>
      </c>
      <c r="H196" s="1">
        <v>42620</v>
      </c>
      <c r="I196">
        <v>1</v>
      </c>
      <c r="K196" t="s">
        <v>1582</v>
      </c>
      <c r="L196" t="s">
        <v>341</v>
      </c>
      <c r="P196" t="s">
        <v>1583</v>
      </c>
    </row>
    <row r="197" spans="1:16" x14ac:dyDescent="0.35">
      <c r="A197">
        <v>4977160</v>
      </c>
      <c r="B197" t="s">
        <v>1584</v>
      </c>
      <c r="C197" t="str">
        <f>"9780849311918"</f>
        <v>9780849311918</v>
      </c>
      <c r="D197" t="str">
        <f>"9780203486696"</f>
        <v>9780203486696</v>
      </c>
      <c r="E197" t="s">
        <v>19</v>
      </c>
      <c r="F197" t="s">
        <v>60</v>
      </c>
      <c r="G197" s="1">
        <v>37984</v>
      </c>
      <c r="H197" s="1">
        <v>1</v>
      </c>
      <c r="K197" t="s">
        <v>1585</v>
      </c>
      <c r="L197" t="s">
        <v>175</v>
      </c>
      <c r="M197" t="s">
        <v>1586</v>
      </c>
      <c r="N197">
        <v>4.22</v>
      </c>
      <c r="O197" t="s">
        <v>1587</v>
      </c>
      <c r="P197" t="s">
        <v>1588</v>
      </c>
    </row>
    <row r="198" spans="1:16" x14ac:dyDescent="0.35">
      <c r="A198">
        <v>5121762</v>
      </c>
      <c r="B198" t="s">
        <v>1589</v>
      </c>
      <c r="C198" t="str">
        <f>""</f>
        <v/>
      </c>
      <c r="D198" t="str">
        <f>"9781410613424"</f>
        <v>9781410613424</v>
      </c>
      <c r="E198" t="s">
        <v>19</v>
      </c>
      <c r="F198" t="s">
        <v>60</v>
      </c>
      <c r="G198" s="1">
        <v>38518</v>
      </c>
      <c r="H198" s="1">
        <v>1</v>
      </c>
      <c r="I198">
        <v>2</v>
      </c>
      <c r="K198" t="s">
        <v>1590</v>
      </c>
      <c r="L198" t="s">
        <v>38</v>
      </c>
      <c r="M198" t="s">
        <v>1591</v>
      </c>
      <c r="N198">
        <v>302.23</v>
      </c>
      <c r="P198" t="s">
        <v>1592</v>
      </c>
    </row>
    <row r="199" spans="1:16" x14ac:dyDescent="0.35">
      <c r="A199">
        <v>5121812</v>
      </c>
      <c r="B199" t="s">
        <v>1593</v>
      </c>
      <c r="C199" t="str">
        <f>""</f>
        <v/>
      </c>
      <c r="D199" t="str">
        <f>"9780203881071"</f>
        <v>9780203881071</v>
      </c>
      <c r="E199" t="s">
        <v>19</v>
      </c>
      <c r="F199" t="s">
        <v>60</v>
      </c>
      <c r="G199" s="1">
        <v>39659</v>
      </c>
      <c r="H199" s="1">
        <v>1</v>
      </c>
      <c r="K199" t="s">
        <v>1594</v>
      </c>
      <c r="L199" t="s">
        <v>186</v>
      </c>
      <c r="N199">
        <v>620.5</v>
      </c>
      <c r="P199" t="s">
        <v>1595</v>
      </c>
    </row>
    <row r="200" spans="1:16" x14ac:dyDescent="0.35">
      <c r="A200">
        <v>5121839</v>
      </c>
      <c r="B200" t="s">
        <v>1596</v>
      </c>
      <c r="C200" t="str">
        <f>"9780415257091"</f>
        <v>9780415257091</v>
      </c>
      <c r="D200" t="str">
        <f>"9780203994016"</f>
        <v>9780203994016</v>
      </c>
      <c r="E200" t="s">
        <v>19</v>
      </c>
      <c r="F200" t="s">
        <v>60</v>
      </c>
      <c r="G200" s="1">
        <v>37371</v>
      </c>
      <c r="H200" s="1">
        <v>1</v>
      </c>
      <c r="I200">
        <v>2</v>
      </c>
      <c r="K200" t="s">
        <v>1597</v>
      </c>
      <c r="L200" t="s">
        <v>35</v>
      </c>
      <c r="M200" t="s">
        <v>1598</v>
      </c>
      <c r="N200">
        <v>428</v>
      </c>
      <c r="P200" t="s">
        <v>1599</v>
      </c>
    </row>
    <row r="201" spans="1:16" x14ac:dyDescent="0.35">
      <c r="A201">
        <v>5186338</v>
      </c>
      <c r="B201" t="s">
        <v>1600</v>
      </c>
      <c r="C201" t="str">
        <f>"9781292161365"</f>
        <v>9781292161365</v>
      </c>
      <c r="D201" t="str">
        <f>"9781292161419"</f>
        <v>9781292161419</v>
      </c>
      <c r="E201" t="s">
        <v>1601</v>
      </c>
      <c r="F201" t="s">
        <v>1601</v>
      </c>
      <c r="G201" s="1">
        <v>42608</v>
      </c>
      <c r="H201" s="1">
        <v>43083</v>
      </c>
      <c r="I201">
        <v>9</v>
      </c>
      <c r="K201" t="s">
        <v>1602</v>
      </c>
      <c r="L201" t="s">
        <v>316</v>
      </c>
      <c r="M201" t="s">
        <v>1603</v>
      </c>
      <c r="N201">
        <v>519.5</v>
      </c>
      <c r="O201" t="s">
        <v>1604</v>
      </c>
      <c r="P201" t="s">
        <v>1605</v>
      </c>
    </row>
    <row r="202" spans="1:16" x14ac:dyDescent="0.35">
      <c r="A202">
        <v>5292757</v>
      </c>
      <c r="B202" t="s">
        <v>554</v>
      </c>
      <c r="C202" t="str">
        <f>""</f>
        <v/>
      </c>
      <c r="D202" t="str">
        <f>"9780203390924"</f>
        <v>9780203390924</v>
      </c>
      <c r="E202" t="s">
        <v>19</v>
      </c>
      <c r="F202" t="s">
        <v>60</v>
      </c>
      <c r="G202" s="1">
        <v>38705</v>
      </c>
      <c r="H202" s="1">
        <v>1</v>
      </c>
      <c r="K202" t="s">
        <v>555</v>
      </c>
      <c r="L202" t="s">
        <v>27</v>
      </c>
      <c r="N202">
        <v>791.43653099999995</v>
      </c>
      <c r="P202" t="s">
        <v>556</v>
      </c>
    </row>
    <row r="203" spans="1:16" x14ac:dyDescent="0.35">
      <c r="A203">
        <v>5292889</v>
      </c>
      <c r="B203" t="s">
        <v>1606</v>
      </c>
      <c r="C203" t="str">
        <f>""</f>
        <v/>
      </c>
      <c r="D203" t="str">
        <f>"9781410613592"</f>
        <v>9781410613592</v>
      </c>
      <c r="E203" t="s">
        <v>19</v>
      </c>
      <c r="F203" t="s">
        <v>60</v>
      </c>
      <c r="G203" s="1">
        <v>38492</v>
      </c>
      <c r="H203" s="1">
        <v>1</v>
      </c>
      <c r="K203" t="s">
        <v>1607</v>
      </c>
      <c r="L203" t="s">
        <v>22</v>
      </c>
      <c r="N203">
        <v>179.76</v>
      </c>
      <c r="P203" t="s">
        <v>1608</v>
      </c>
    </row>
    <row r="204" spans="1:16" x14ac:dyDescent="0.35">
      <c r="A204">
        <v>5300826</v>
      </c>
      <c r="B204" t="s">
        <v>1609</v>
      </c>
      <c r="C204" t="str">
        <f>""</f>
        <v/>
      </c>
      <c r="D204" t="str">
        <f>"9781410602848"</f>
        <v>9781410602848</v>
      </c>
      <c r="E204" t="s">
        <v>19</v>
      </c>
      <c r="F204" t="s">
        <v>60</v>
      </c>
      <c r="G204" s="1">
        <v>37257</v>
      </c>
      <c r="H204" s="1">
        <v>1</v>
      </c>
      <c r="K204" t="s">
        <v>1610</v>
      </c>
      <c r="L204" t="s">
        <v>34</v>
      </c>
      <c r="N204">
        <v>971</v>
      </c>
      <c r="P204" t="s">
        <v>1611</v>
      </c>
    </row>
    <row r="205" spans="1:16" x14ac:dyDescent="0.35">
      <c r="A205">
        <v>5300884</v>
      </c>
      <c r="B205" t="s">
        <v>1612</v>
      </c>
      <c r="C205" t="str">
        <f>""</f>
        <v/>
      </c>
      <c r="D205" t="str">
        <f>"9781410617149"</f>
        <v>9781410617149</v>
      </c>
      <c r="E205" t="s">
        <v>19</v>
      </c>
      <c r="F205" t="s">
        <v>60</v>
      </c>
      <c r="G205" s="1">
        <v>38652</v>
      </c>
      <c r="H205" s="1">
        <v>1</v>
      </c>
      <c r="K205" t="s">
        <v>1613</v>
      </c>
      <c r="L205" t="s">
        <v>34</v>
      </c>
      <c r="N205">
        <v>951.90419999999995</v>
      </c>
      <c r="P205" t="s">
        <v>1614</v>
      </c>
    </row>
    <row r="206" spans="1:16" x14ac:dyDescent="0.35">
      <c r="A206">
        <v>5389335</v>
      </c>
      <c r="B206" t="s">
        <v>1615</v>
      </c>
      <c r="C206" t="str">
        <f>"9781474282352"</f>
        <v>9781474282352</v>
      </c>
      <c r="D206" t="str">
        <f>"9781000181074"</f>
        <v>9781000181074</v>
      </c>
      <c r="E206" t="s">
        <v>19</v>
      </c>
      <c r="F206" t="s">
        <v>20</v>
      </c>
      <c r="G206" s="1">
        <v>43265</v>
      </c>
      <c r="H206" s="1">
        <v>43232</v>
      </c>
      <c r="K206" t="s">
        <v>1616</v>
      </c>
      <c r="L206" t="s">
        <v>27</v>
      </c>
      <c r="M206" t="s">
        <v>1617</v>
      </c>
      <c r="N206">
        <v>701.03</v>
      </c>
      <c r="O206" t="s">
        <v>1618</v>
      </c>
      <c r="P206" t="s">
        <v>1619</v>
      </c>
    </row>
    <row r="207" spans="1:16" x14ac:dyDescent="0.35">
      <c r="A207">
        <v>5528463</v>
      </c>
      <c r="B207" t="s">
        <v>1620</v>
      </c>
      <c r="C207" t="str">
        <f>"9781630815677"</f>
        <v>9781630815677</v>
      </c>
      <c r="D207" t="str">
        <f>"9781630815691"</f>
        <v>9781630815691</v>
      </c>
      <c r="E207" t="s">
        <v>227</v>
      </c>
      <c r="F207" t="s">
        <v>227</v>
      </c>
      <c r="G207" s="1">
        <v>43312</v>
      </c>
      <c r="H207" s="1">
        <v>43373</v>
      </c>
      <c r="I207">
        <v>1</v>
      </c>
      <c r="K207" t="s">
        <v>1621</v>
      </c>
      <c r="L207" t="s">
        <v>141</v>
      </c>
      <c r="M207" t="s">
        <v>1622</v>
      </c>
      <c r="N207">
        <v>621.38480000000004</v>
      </c>
      <c r="O207" t="s">
        <v>1623</v>
      </c>
      <c r="P207" t="s">
        <v>1624</v>
      </c>
    </row>
    <row r="208" spans="1:16" x14ac:dyDescent="0.35">
      <c r="A208">
        <v>5580333</v>
      </c>
      <c r="B208" t="s">
        <v>1625</v>
      </c>
      <c r="C208" t="str">
        <f>"9781138189232"</f>
        <v>9781138189232</v>
      </c>
      <c r="D208" t="str">
        <f>"9781317225942"</f>
        <v>9781317225942</v>
      </c>
      <c r="E208" t="s">
        <v>19</v>
      </c>
      <c r="F208" t="s">
        <v>20</v>
      </c>
      <c r="G208" s="1">
        <v>43326</v>
      </c>
      <c r="H208" s="1">
        <v>43412</v>
      </c>
      <c r="K208" t="s">
        <v>1626</v>
      </c>
      <c r="L208" t="s">
        <v>27</v>
      </c>
      <c r="M208" t="s">
        <v>1627</v>
      </c>
      <c r="N208">
        <v>701.18</v>
      </c>
      <c r="O208" t="s">
        <v>1628</v>
      </c>
      <c r="P208" t="s">
        <v>1629</v>
      </c>
    </row>
    <row r="209" spans="1:16" x14ac:dyDescent="0.35">
      <c r="A209">
        <v>5616251</v>
      </c>
      <c r="B209" t="s">
        <v>1630</v>
      </c>
      <c r="C209" t="str">
        <f>"9781350060654"</f>
        <v>9781350060654</v>
      </c>
      <c r="D209" t="str">
        <f>"9781350060678"</f>
        <v>9781350060678</v>
      </c>
      <c r="E209" t="s">
        <v>539</v>
      </c>
      <c r="F209" t="s">
        <v>540</v>
      </c>
      <c r="G209" s="1">
        <v>43517</v>
      </c>
      <c r="H209" s="1">
        <v>43451</v>
      </c>
      <c r="K209" t="s">
        <v>1631</v>
      </c>
      <c r="L209" t="s">
        <v>27</v>
      </c>
      <c r="M209" t="s">
        <v>1632</v>
      </c>
      <c r="N209">
        <v>745.4</v>
      </c>
      <c r="O209" t="s">
        <v>1633</v>
      </c>
      <c r="P209" t="s">
        <v>1634</v>
      </c>
    </row>
    <row r="210" spans="1:16" x14ac:dyDescent="0.35">
      <c r="A210">
        <v>5633128</v>
      </c>
      <c r="B210" t="s">
        <v>1635</v>
      </c>
      <c r="C210" t="str">
        <f>"9781350071759"</f>
        <v>9781350071759</v>
      </c>
      <c r="D210" t="str">
        <f>"9781350071766"</f>
        <v>9781350071766</v>
      </c>
      <c r="E210" t="s">
        <v>539</v>
      </c>
      <c r="F210" t="s">
        <v>540</v>
      </c>
      <c r="G210" s="1">
        <v>43517</v>
      </c>
      <c r="H210" s="1">
        <v>43481</v>
      </c>
      <c r="K210" t="s">
        <v>1636</v>
      </c>
      <c r="L210" t="s">
        <v>27</v>
      </c>
      <c r="M210" t="s">
        <v>1637</v>
      </c>
      <c r="N210">
        <v>746.44</v>
      </c>
      <c r="O210" t="s">
        <v>1638</v>
      </c>
      <c r="P210" t="s">
        <v>1639</v>
      </c>
    </row>
    <row r="211" spans="1:16" x14ac:dyDescent="0.35">
      <c r="A211">
        <v>5718928</v>
      </c>
      <c r="B211" t="s">
        <v>1640</v>
      </c>
      <c r="C211" t="str">
        <f>"9780749484088"</f>
        <v>9780749484088</v>
      </c>
      <c r="D211" t="str">
        <f>"9780749484095"</f>
        <v>9780749484095</v>
      </c>
      <c r="E211" t="s">
        <v>215</v>
      </c>
      <c r="F211" t="s">
        <v>215</v>
      </c>
      <c r="G211" s="1">
        <v>43550</v>
      </c>
      <c r="H211" s="1">
        <v>43520</v>
      </c>
      <c r="I211">
        <v>1</v>
      </c>
      <c r="K211" t="s">
        <v>1641</v>
      </c>
      <c r="L211" t="s">
        <v>28</v>
      </c>
      <c r="N211">
        <v>658.40629999999999</v>
      </c>
      <c r="P211" t="s">
        <v>1642</v>
      </c>
    </row>
    <row r="212" spans="1:16" x14ac:dyDescent="0.35">
      <c r="A212">
        <v>5988158</v>
      </c>
      <c r="B212" t="s">
        <v>1643</v>
      </c>
      <c r="C212" t="str">
        <f>"9781630815974"</f>
        <v>9781630815974</v>
      </c>
      <c r="D212" t="str">
        <f>"9781630815998"</f>
        <v>9781630815998</v>
      </c>
      <c r="E212" t="s">
        <v>227</v>
      </c>
      <c r="F212" t="s">
        <v>227</v>
      </c>
      <c r="G212" s="1">
        <v>43769</v>
      </c>
      <c r="H212" s="1">
        <v>43802</v>
      </c>
      <c r="I212">
        <v>1</v>
      </c>
      <c r="K212" t="s">
        <v>1644</v>
      </c>
      <c r="L212" t="s">
        <v>166</v>
      </c>
      <c r="M212" t="s">
        <v>1645</v>
      </c>
      <c r="N212">
        <v>621.38480000000004</v>
      </c>
      <c r="O212" t="s">
        <v>1646</v>
      </c>
      <c r="P212" t="s">
        <v>1647</v>
      </c>
    </row>
  </sheetData>
  <autoFilter ref="A1:P1" xr:uid="{00000000-0009-0000-0000-00000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7B84-3C64-42F2-A979-7CD34CC9AF01}">
  <dimension ref="A1:P1941"/>
  <sheetViews>
    <sheetView topLeftCell="B1" workbookViewId="0">
      <selection activeCell="J31" sqref="J31"/>
    </sheetView>
  </sheetViews>
  <sheetFormatPr defaultRowHeight="14.5" x14ac:dyDescent="0.35"/>
  <cols>
    <col min="1" max="1" width="0" hidden="1" customWidth="1"/>
    <col min="2" max="2" width="66.81640625" customWidth="1"/>
    <col min="3" max="3" width="15.1796875" customWidth="1"/>
    <col min="7" max="7" width="13.81640625" customWidth="1"/>
    <col min="8" max="8" width="0" hidden="1" customWidth="1"/>
  </cols>
  <sheetData>
    <row r="1" spans="1:16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5">
      <c r="A2">
        <v>30219122</v>
      </c>
      <c r="B2" t="s">
        <v>1648</v>
      </c>
      <c r="C2" t="str">
        <f>""</f>
        <v/>
      </c>
      <c r="D2" t="str">
        <f>"9783035737257"</f>
        <v>9783035737257</v>
      </c>
      <c r="E2" t="s">
        <v>1649</v>
      </c>
      <c r="F2" t="s">
        <v>1649</v>
      </c>
      <c r="G2" s="1">
        <v>44923</v>
      </c>
      <c r="H2" s="1">
        <v>44872</v>
      </c>
      <c r="I2">
        <v>1</v>
      </c>
      <c r="K2" t="s">
        <v>1650</v>
      </c>
      <c r="L2" t="s">
        <v>1651</v>
      </c>
      <c r="P2" t="s">
        <v>18</v>
      </c>
    </row>
    <row r="3" spans="1:16" x14ac:dyDescent="0.35">
      <c r="A3">
        <v>30174332</v>
      </c>
      <c r="B3" t="s">
        <v>1652</v>
      </c>
      <c r="C3" t="str">
        <f>""</f>
        <v/>
      </c>
      <c r="D3" t="str">
        <f>"9783036411217"</f>
        <v>9783036411217</v>
      </c>
      <c r="E3" t="s">
        <v>1649</v>
      </c>
      <c r="F3" t="s">
        <v>1649</v>
      </c>
      <c r="G3" s="1">
        <v>44894</v>
      </c>
      <c r="H3" s="1">
        <v>44844</v>
      </c>
      <c r="I3">
        <v>1</v>
      </c>
      <c r="K3" t="s">
        <v>1653</v>
      </c>
      <c r="L3" t="s">
        <v>1654</v>
      </c>
      <c r="P3" t="s">
        <v>18</v>
      </c>
    </row>
    <row r="4" spans="1:16" x14ac:dyDescent="0.35">
      <c r="A4">
        <v>30130821</v>
      </c>
      <c r="B4" t="s">
        <v>1655</v>
      </c>
      <c r="C4" t="str">
        <f>""</f>
        <v/>
      </c>
      <c r="D4" t="str">
        <f>"9783036410968"</f>
        <v>9783036410968</v>
      </c>
      <c r="E4" t="s">
        <v>1649</v>
      </c>
      <c r="F4" t="s">
        <v>1649</v>
      </c>
      <c r="G4" s="1">
        <v>44874</v>
      </c>
      <c r="H4" s="1">
        <v>44825</v>
      </c>
      <c r="I4">
        <v>1</v>
      </c>
      <c r="J4" t="s">
        <v>1656</v>
      </c>
      <c r="K4" t="s">
        <v>1657</v>
      </c>
      <c r="L4" t="s">
        <v>93</v>
      </c>
      <c r="P4" t="s">
        <v>18</v>
      </c>
    </row>
    <row r="5" spans="1:16" x14ac:dyDescent="0.35">
      <c r="A5">
        <v>30174290</v>
      </c>
      <c r="B5" t="s">
        <v>1658</v>
      </c>
      <c r="C5" t="str">
        <f>""</f>
        <v/>
      </c>
      <c r="D5" t="str">
        <f>"9783035737813"</f>
        <v>9783035737813</v>
      </c>
      <c r="E5" t="s">
        <v>1649</v>
      </c>
      <c r="F5" t="s">
        <v>1649</v>
      </c>
      <c r="G5" s="1">
        <v>44872</v>
      </c>
      <c r="H5" s="1">
        <v>44844</v>
      </c>
      <c r="I5">
        <v>1</v>
      </c>
      <c r="K5" t="s">
        <v>1659</v>
      </c>
      <c r="L5" t="s">
        <v>1660</v>
      </c>
      <c r="P5" t="s">
        <v>18</v>
      </c>
    </row>
    <row r="6" spans="1:16" x14ac:dyDescent="0.35">
      <c r="A6">
        <v>7099392</v>
      </c>
      <c r="B6" t="s">
        <v>1661</v>
      </c>
      <c r="C6" t="str">
        <f>"9781527588332"</f>
        <v>9781527588332</v>
      </c>
      <c r="D6" t="str">
        <f>"9781527588349"</f>
        <v>9781527588349</v>
      </c>
      <c r="E6" t="s">
        <v>1662</v>
      </c>
      <c r="F6" t="s">
        <v>1662</v>
      </c>
      <c r="G6" s="1">
        <v>44866</v>
      </c>
      <c r="H6" s="1">
        <v>44828</v>
      </c>
      <c r="K6" t="s">
        <v>1663</v>
      </c>
      <c r="L6" t="s">
        <v>37</v>
      </c>
      <c r="N6">
        <v>202.12</v>
      </c>
      <c r="P6" t="s">
        <v>18</v>
      </c>
    </row>
    <row r="7" spans="1:16" x14ac:dyDescent="0.35">
      <c r="A7">
        <v>7116494</v>
      </c>
      <c r="B7" t="s">
        <v>1664</v>
      </c>
      <c r="C7" t="str">
        <f>"9781527588028"</f>
        <v>9781527588028</v>
      </c>
      <c r="D7" t="str">
        <f>"9781527588035"</f>
        <v>9781527588035</v>
      </c>
      <c r="E7" t="s">
        <v>1662</v>
      </c>
      <c r="F7" t="s">
        <v>1662</v>
      </c>
      <c r="G7" s="1">
        <v>44866</v>
      </c>
      <c r="H7" s="1">
        <v>44852</v>
      </c>
      <c r="K7" t="s">
        <v>1665</v>
      </c>
      <c r="L7" t="s">
        <v>38</v>
      </c>
      <c r="N7">
        <v>304.2</v>
      </c>
      <c r="P7" t="s">
        <v>18</v>
      </c>
    </row>
    <row r="8" spans="1:16" x14ac:dyDescent="0.35">
      <c r="A8">
        <v>7127110</v>
      </c>
      <c r="B8" t="s">
        <v>1666</v>
      </c>
      <c r="C8" t="str">
        <f>"9781527589995"</f>
        <v>9781527589995</v>
      </c>
      <c r="D8" t="str">
        <f>"9781527590007"</f>
        <v>9781527590007</v>
      </c>
      <c r="E8" t="s">
        <v>1662</v>
      </c>
      <c r="F8" t="s">
        <v>1662</v>
      </c>
      <c r="G8" s="1">
        <v>44862</v>
      </c>
      <c r="H8" s="1">
        <v>44863</v>
      </c>
      <c r="K8" t="s">
        <v>1667</v>
      </c>
      <c r="P8" t="s">
        <v>18</v>
      </c>
    </row>
    <row r="9" spans="1:16" x14ac:dyDescent="0.35">
      <c r="A9">
        <v>29449044</v>
      </c>
      <c r="B9" t="s">
        <v>1668</v>
      </c>
      <c r="C9" t="str">
        <f>""</f>
        <v/>
      </c>
      <c r="D9" t="str">
        <f>"9783036411101"</f>
        <v>9783036411101</v>
      </c>
      <c r="E9" t="s">
        <v>1649</v>
      </c>
      <c r="F9" t="s">
        <v>1649</v>
      </c>
      <c r="G9" s="1">
        <v>44839</v>
      </c>
      <c r="H9" s="1">
        <v>44795</v>
      </c>
      <c r="I9">
        <v>1</v>
      </c>
      <c r="J9" t="s">
        <v>1656</v>
      </c>
      <c r="K9" t="s">
        <v>1669</v>
      </c>
      <c r="L9" t="s">
        <v>374</v>
      </c>
      <c r="P9" t="s">
        <v>18</v>
      </c>
    </row>
    <row r="10" spans="1:16" x14ac:dyDescent="0.35">
      <c r="A10">
        <v>29796690</v>
      </c>
      <c r="B10" t="s">
        <v>1670</v>
      </c>
      <c r="C10" t="str">
        <f>""</f>
        <v/>
      </c>
      <c r="D10" t="str">
        <f>"9783036411583"</f>
        <v>9783036411583</v>
      </c>
      <c r="E10" t="s">
        <v>1649</v>
      </c>
      <c r="F10" t="s">
        <v>1649</v>
      </c>
      <c r="G10" s="1">
        <v>44827</v>
      </c>
      <c r="H10" s="1">
        <v>44809</v>
      </c>
      <c r="I10">
        <v>1</v>
      </c>
      <c r="J10" t="s">
        <v>1671</v>
      </c>
      <c r="K10" t="s">
        <v>1672</v>
      </c>
      <c r="L10" t="s">
        <v>1673</v>
      </c>
      <c r="P10" t="s">
        <v>18</v>
      </c>
    </row>
    <row r="11" spans="1:16" x14ac:dyDescent="0.35">
      <c r="A11">
        <v>7080239</v>
      </c>
      <c r="B11" t="s">
        <v>1674</v>
      </c>
      <c r="C11" t="str">
        <f>"9781801178570"</f>
        <v>9781801178570</v>
      </c>
      <c r="D11" t="str">
        <f>"9781801178563"</f>
        <v>9781801178563</v>
      </c>
      <c r="E11" t="s">
        <v>187</v>
      </c>
      <c r="F11" t="s">
        <v>187</v>
      </c>
      <c r="G11" s="1">
        <v>44820</v>
      </c>
      <c r="H11" s="1">
        <v>44809</v>
      </c>
      <c r="K11" t="s">
        <v>1675</v>
      </c>
      <c r="L11" t="s">
        <v>110</v>
      </c>
      <c r="M11" t="s">
        <v>1676</v>
      </c>
      <c r="N11">
        <v>174</v>
      </c>
      <c r="P11" t="s">
        <v>18</v>
      </c>
    </row>
    <row r="12" spans="1:16" x14ac:dyDescent="0.35">
      <c r="A12">
        <v>7078066</v>
      </c>
      <c r="B12" t="s">
        <v>1677</v>
      </c>
      <c r="C12" t="str">
        <f>"9781802622928"</f>
        <v>9781802622928</v>
      </c>
      <c r="D12" t="str">
        <f>"9781802622935"</f>
        <v>9781802622935</v>
      </c>
      <c r="E12" t="s">
        <v>187</v>
      </c>
      <c r="F12" t="s">
        <v>187</v>
      </c>
      <c r="G12" s="1">
        <v>44812</v>
      </c>
      <c r="H12" s="1">
        <v>44802</v>
      </c>
      <c r="J12" t="s">
        <v>1678</v>
      </c>
      <c r="K12" t="s">
        <v>1679</v>
      </c>
      <c r="L12" t="s">
        <v>38</v>
      </c>
      <c r="M12" t="s">
        <v>1680</v>
      </c>
      <c r="N12">
        <v>307.10000000000002</v>
      </c>
      <c r="P12" t="s">
        <v>18</v>
      </c>
    </row>
    <row r="13" spans="1:16" x14ac:dyDescent="0.35">
      <c r="A13">
        <v>7069565</v>
      </c>
      <c r="B13" t="s">
        <v>1681</v>
      </c>
      <c r="C13" t="str">
        <f>"9783035717594"</f>
        <v>9783035717594</v>
      </c>
      <c r="D13" t="str">
        <f>"9783035737509"</f>
        <v>9783035737509</v>
      </c>
      <c r="E13" t="s">
        <v>1649</v>
      </c>
      <c r="F13" t="s">
        <v>1649</v>
      </c>
      <c r="G13" s="1">
        <v>44795</v>
      </c>
      <c r="H13" s="1">
        <v>44782</v>
      </c>
      <c r="I13">
        <v>1</v>
      </c>
      <c r="J13" t="s">
        <v>1671</v>
      </c>
      <c r="K13" t="s">
        <v>1682</v>
      </c>
      <c r="L13" t="s">
        <v>1683</v>
      </c>
      <c r="P13" t="s">
        <v>18</v>
      </c>
    </row>
    <row r="14" spans="1:16" x14ac:dyDescent="0.35">
      <c r="A14">
        <v>7070261</v>
      </c>
      <c r="B14" t="s">
        <v>1684</v>
      </c>
      <c r="C14" t="str">
        <f>""</f>
        <v/>
      </c>
      <c r="D14" t="str">
        <f>"9783110723960"</f>
        <v>9783110723960</v>
      </c>
      <c r="E14" t="s">
        <v>404</v>
      </c>
      <c r="F14" t="s">
        <v>404</v>
      </c>
      <c r="G14" s="1">
        <v>44795</v>
      </c>
      <c r="H14" s="1">
        <v>44781</v>
      </c>
      <c r="J14" t="s">
        <v>1685</v>
      </c>
      <c r="K14" t="s">
        <v>1686</v>
      </c>
      <c r="L14" t="s">
        <v>76</v>
      </c>
      <c r="N14" t="s">
        <v>1687</v>
      </c>
      <c r="P14" t="s">
        <v>18</v>
      </c>
    </row>
    <row r="15" spans="1:16" x14ac:dyDescent="0.35">
      <c r="A15">
        <v>7069776</v>
      </c>
      <c r="B15" t="s">
        <v>1688</v>
      </c>
      <c r="C15" t="str">
        <f>"9781685078362"</f>
        <v>9781685078362</v>
      </c>
      <c r="D15" t="str">
        <f>"9798886970272"</f>
        <v>9798886970272</v>
      </c>
      <c r="E15" t="s">
        <v>1689</v>
      </c>
      <c r="F15" t="s">
        <v>1689</v>
      </c>
      <c r="G15" s="1">
        <v>44783</v>
      </c>
      <c r="H15" s="1">
        <v>44779</v>
      </c>
      <c r="I15">
        <v>1</v>
      </c>
      <c r="J15" t="s">
        <v>1690</v>
      </c>
      <c r="K15" t="s">
        <v>1691</v>
      </c>
      <c r="L15" t="s">
        <v>38</v>
      </c>
      <c r="N15">
        <v>304.2</v>
      </c>
      <c r="P15" t="s">
        <v>18</v>
      </c>
    </row>
    <row r="16" spans="1:16" x14ac:dyDescent="0.35">
      <c r="A16">
        <v>7054758</v>
      </c>
      <c r="B16" t="s">
        <v>1692</v>
      </c>
      <c r="C16" t="str">
        <f>"9781839095894"</f>
        <v>9781839095894</v>
      </c>
      <c r="D16" t="str">
        <f>"9781839095887"</f>
        <v>9781839095887</v>
      </c>
      <c r="E16" t="s">
        <v>187</v>
      </c>
      <c r="F16" t="s">
        <v>187</v>
      </c>
      <c r="G16" s="1">
        <v>44781</v>
      </c>
      <c r="H16" s="1">
        <v>44774</v>
      </c>
      <c r="J16" t="s">
        <v>1693</v>
      </c>
      <c r="K16" t="s">
        <v>1694</v>
      </c>
      <c r="L16" t="s">
        <v>312</v>
      </c>
      <c r="M16" t="s">
        <v>1695</v>
      </c>
      <c r="N16">
        <v>625.1</v>
      </c>
      <c r="P16" t="s">
        <v>18</v>
      </c>
    </row>
    <row r="17" spans="1:16" x14ac:dyDescent="0.35">
      <c r="A17">
        <v>7048975</v>
      </c>
      <c r="B17" t="s">
        <v>1696</v>
      </c>
      <c r="C17" t="str">
        <f>"9781803821061"</f>
        <v>9781803821061</v>
      </c>
      <c r="D17" t="str">
        <f>"9781803821078"</f>
        <v>9781803821078</v>
      </c>
      <c r="E17" t="s">
        <v>187</v>
      </c>
      <c r="F17" t="s">
        <v>187</v>
      </c>
      <c r="G17" s="1">
        <v>44777</v>
      </c>
      <c r="H17" s="1">
        <v>44767</v>
      </c>
      <c r="K17" t="s">
        <v>1697</v>
      </c>
      <c r="L17" t="s">
        <v>26</v>
      </c>
      <c r="M17" t="s">
        <v>252</v>
      </c>
      <c r="N17">
        <v>330.9</v>
      </c>
      <c r="P17" t="s">
        <v>18</v>
      </c>
    </row>
    <row r="18" spans="1:16" x14ac:dyDescent="0.35">
      <c r="A18">
        <v>7050364</v>
      </c>
      <c r="B18" t="s">
        <v>1698</v>
      </c>
      <c r="C18" t="str">
        <f>"9780323913072"</f>
        <v>9780323913072</v>
      </c>
      <c r="D18" t="str">
        <f>"9780323913089"</f>
        <v>9780323913089</v>
      </c>
      <c r="E18" t="s">
        <v>1699</v>
      </c>
      <c r="F18" t="s">
        <v>1699</v>
      </c>
      <c r="G18" s="1">
        <v>44769</v>
      </c>
      <c r="H18" s="1">
        <v>44769</v>
      </c>
      <c r="K18" t="s">
        <v>1700</v>
      </c>
      <c r="L18" t="s">
        <v>26</v>
      </c>
      <c r="N18">
        <v>338.92700000000002</v>
      </c>
      <c r="P18" t="s">
        <v>18</v>
      </c>
    </row>
    <row r="19" spans="1:16" x14ac:dyDescent="0.35">
      <c r="A19">
        <v>7069777</v>
      </c>
      <c r="B19" t="s">
        <v>1701</v>
      </c>
      <c r="C19" t="str">
        <f>"9781685078188"</f>
        <v>9781685078188</v>
      </c>
      <c r="D19" t="str">
        <f>"9798886970234"</f>
        <v>9798886970234</v>
      </c>
      <c r="E19" t="s">
        <v>1689</v>
      </c>
      <c r="F19" t="s">
        <v>1689</v>
      </c>
      <c r="G19" s="1">
        <v>44769</v>
      </c>
      <c r="H19" s="1">
        <v>44779</v>
      </c>
      <c r="I19">
        <v>1</v>
      </c>
      <c r="J19" t="s">
        <v>1702</v>
      </c>
      <c r="K19" t="s">
        <v>1703</v>
      </c>
      <c r="L19" t="s">
        <v>69</v>
      </c>
      <c r="P19" t="s">
        <v>18</v>
      </c>
    </row>
    <row r="20" spans="1:16" x14ac:dyDescent="0.35">
      <c r="A20">
        <v>7047863</v>
      </c>
      <c r="B20" t="s">
        <v>1704</v>
      </c>
      <c r="C20" t="str">
        <f>"9780323918381"</f>
        <v>9780323918381</v>
      </c>
      <c r="D20" t="str">
        <f>"9780323912938"</f>
        <v>9780323912938</v>
      </c>
      <c r="E20" t="s">
        <v>1699</v>
      </c>
      <c r="F20" t="s">
        <v>1699</v>
      </c>
      <c r="G20" s="1">
        <v>44767</v>
      </c>
      <c r="H20" s="1">
        <v>44764</v>
      </c>
      <c r="J20" t="s">
        <v>291</v>
      </c>
      <c r="K20" t="s">
        <v>1705</v>
      </c>
      <c r="L20" t="s">
        <v>105</v>
      </c>
      <c r="N20">
        <v>363.61091732</v>
      </c>
      <c r="P20" t="s">
        <v>18</v>
      </c>
    </row>
    <row r="21" spans="1:16" x14ac:dyDescent="0.35">
      <c r="A21">
        <v>7048723</v>
      </c>
      <c r="B21" t="s">
        <v>1706</v>
      </c>
      <c r="C21" t="str">
        <f>"9780323919333"</f>
        <v>9780323919333</v>
      </c>
      <c r="D21" t="str">
        <f>"9780323914116"</f>
        <v>9780323914116</v>
      </c>
      <c r="E21" t="s">
        <v>190</v>
      </c>
      <c r="F21" t="s">
        <v>191</v>
      </c>
      <c r="G21" s="1">
        <v>44767</v>
      </c>
      <c r="H21" s="1">
        <v>44765</v>
      </c>
      <c r="J21" t="s">
        <v>1707</v>
      </c>
      <c r="K21" t="s">
        <v>1708</v>
      </c>
      <c r="L21" t="s">
        <v>168</v>
      </c>
      <c r="N21">
        <v>630.20860000000005</v>
      </c>
      <c r="P21" t="s">
        <v>18</v>
      </c>
    </row>
    <row r="22" spans="1:16" x14ac:dyDescent="0.35">
      <c r="A22">
        <v>29447535</v>
      </c>
      <c r="B22" t="s">
        <v>1709</v>
      </c>
      <c r="C22" t="str">
        <f>"9789815051377"</f>
        <v>9789815051377</v>
      </c>
      <c r="D22" t="str">
        <f>"9789815051360"</f>
        <v>9789815051360</v>
      </c>
      <c r="E22" t="s">
        <v>475</v>
      </c>
      <c r="F22" t="s">
        <v>475</v>
      </c>
      <c r="G22" s="1">
        <v>44763</v>
      </c>
      <c r="H22" s="1">
        <v>44793</v>
      </c>
      <c r="I22">
        <v>1</v>
      </c>
      <c r="J22" t="s">
        <v>1710</v>
      </c>
      <c r="K22" t="s">
        <v>1711</v>
      </c>
      <c r="L22" t="s">
        <v>1712</v>
      </c>
      <c r="P22" t="s">
        <v>18</v>
      </c>
    </row>
    <row r="23" spans="1:16" x14ac:dyDescent="0.35">
      <c r="A23">
        <v>7027370</v>
      </c>
      <c r="B23" t="s">
        <v>1713</v>
      </c>
      <c r="C23" t="str">
        <f>"9781803825762"</f>
        <v>9781803825762</v>
      </c>
      <c r="D23" t="str">
        <f>"9781803825731"</f>
        <v>9781803825731</v>
      </c>
      <c r="E23" t="s">
        <v>187</v>
      </c>
      <c r="F23" t="s">
        <v>187</v>
      </c>
      <c r="G23" s="1">
        <v>44753</v>
      </c>
      <c r="H23" s="1">
        <v>44746</v>
      </c>
      <c r="J23" t="s">
        <v>1714</v>
      </c>
      <c r="K23" t="s">
        <v>1715</v>
      </c>
      <c r="L23" t="s">
        <v>28</v>
      </c>
      <c r="M23" t="s">
        <v>1716</v>
      </c>
      <c r="N23">
        <v>658.04499999999996</v>
      </c>
      <c r="O23" t="s">
        <v>1717</v>
      </c>
      <c r="P23" t="s">
        <v>18</v>
      </c>
    </row>
    <row r="24" spans="1:16" x14ac:dyDescent="0.35">
      <c r="A24">
        <v>7027374</v>
      </c>
      <c r="B24" t="s">
        <v>1718</v>
      </c>
      <c r="C24" t="str">
        <f>"9781803824949"</f>
        <v>9781803824949</v>
      </c>
      <c r="D24" t="str">
        <f>"9781803824956"</f>
        <v>9781803824956</v>
      </c>
      <c r="E24" t="s">
        <v>187</v>
      </c>
      <c r="F24" t="s">
        <v>187</v>
      </c>
      <c r="G24" s="1">
        <v>44753</v>
      </c>
      <c r="H24" s="1">
        <v>44746</v>
      </c>
      <c r="K24" t="s">
        <v>1719</v>
      </c>
      <c r="L24" t="s">
        <v>89</v>
      </c>
      <c r="M24" t="s">
        <v>1720</v>
      </c>
      <c r="N24">
        <v>361.76509670000002</v>
      </c>
      <c r="O24" t="s">
        <v>1721</v>
      </c>
      <c r="P24" t="s">
        <v>18</v>
      </c>
    </row>
    <row r="25" spans="1:16" x14ac:dyDescent="0.35">
      <c r="A25">
        <v>7009699</v>
      </c>
      <c r="B25" t="s">
        <v>1722</v>
      </c>
      <c r="C25" t="str">
        <f>"9781800735491"</f>
        <v>9781800735491</v>
      </c>
      <c r="D25" t="str">
        <f>"9781800735507"</f>
        <v>9781800735507</v>
      </c>
      <c r="E25" t="s">
        <v>447</v>
      </c>
      <c r="F25" t="s">
        <v>447</v>
      </c>
      <c r="G25" s="1">
        <v>44750</v>
      </c>
      <c r="H25" s="1">
        <v>44719</v>
      </c>
      <c r="I25">
        <v>1</v>
      </c>
      <c r="K25" t="s">
        <v>1723</v>
      </c>
      <c r="L25" t="s">
        <v>34</v>
      </c>
      <c r="M25" t="s">
        <v>1724</v>
      </c>
      <c r="N25">
        <v>948.952</v>
      </c>
      <c r="P25" t="s">
        <v>18</v>
      </c>
    </row>
    <row r="26" spans="1:16" x14ac:dyDescent="0.35">
      <c r="A26">
        <v>7021903</v>
      </c>
      <c r="B26" t="s">
        <v>1725</v>
      </c>
      <c r="C26" t="str">
        <f>"9781803824789"</f>
        <v>9781803824789</v>
      </c>
      <c r="D26" t="str">
        <f>"9781803824772"</f>
        <v>9781803824772</v>
      </c>
      <c r="E26" t="s">
        <v>187</v>
      </c>
      <c r="F26" t="s">
        <v>187</v>
      </c>
      <c r="G26" s="1">
        <v>44750</v>
      </c>
      <c r="H26" s="1">
        <v>44739</v>
      </c>
      <c r="J26" t="s">
        <v>1714</v>
      </c>
      <c r="K26" t="s">
        <v>1715</v>
      </c>
      <c r="L26" t="s">
        <v>30</v>
      </c>
      <c r="M26" t="s">
        <v>1726</v>
      </c>
      <c r="N26">
        <v>374</v>
      </c>
      <c r="O26" t="s">
        <v>1727</v>
      </c>
      <c r="P26" t="s">
        <v>18</v>
      </c>
    </row>
    <row r="27" spans="1:16" x14ac:dyDescent="0.35">
      <c r="A27">
        <v>7029170</v>
      </c>
      <c r="B27" t="s">
        <v>1728</v>
      </c>
      <c r="C27" t="str">
        <f>"9780323998758"</f>
        <v>9780323998758</v>
      </c>
      <c r="D27" t="str">
        <f>"9780323998765"</f>
        <v>9780323998765</v>
      </c>
      <c r="E27" t="s">
        <v>1699</v>
      </c>
      <c r="F27" t="s">
        <v>1699</v>
      </c>
      <c r="G27" s="1">
        <v>44749</v>
      </c>
      <c r="H27" s="1">
        <v>44747</v>
      </c>
      <c r="K27" t="s">
        <v>1729</v>
      </c>
      <c r="L27" t="s">
        <v>172</v>
      </c>
      <c r="M27" t="s">
        <v>1730</v>
      </c>
      <c r="N27">
        <v>574.52629999999999</v>
      </c>
      <c r="O27" t="s">
        <v>1731</v>
      </c>
      <c r="P27" t="s">
        <v>18</v>
      </c>
    </row>
    <row r="28" spans="1:16" x14ac:dyDescent="0.35">
      <c r="A28">
        <v>7026554</v>
      </c>
      <c r="B28" t="s">
        <v>1732</v>
      </c>
      <c r="C28" t="str">
        <f>"9781666911503"</f>
        <v>9781666911503</v>
      </c>
      <c r="D28" t="str">
        <f>"9781666911510"</f>
        <v>9781666911510</v>
      </c>
      <c r="E28" t="s">
        <v>445</v>
      </c>
      <c r="F28" t="s">
        <v>445</v>
      </c>
      <c r="G28" s="1">
        <v>44748</v>
      </c>
      <c r="H28" s="1">
        <v>44744</v>
      </c>
      <c r="K28" t="s">
        <v>1733</v>
      </c>
      <c r="L28" t="s">
        <v>257</v>
      </c>
      <c r="M28" t="s">
        <v>1734</v>
      </c>
      <c r="N28">
        <v>304.2</v>
      </c>
      <c r="O28" t="s">
        <v>1735</v>
      </c>
      <c r="P28" t="s">
        <v>18</v>
      </c>
    </row>
    <row r="29" spans="1:16" x14ac:dyDescent="0.35">
      <c r="A29">
        <v>7027251</v>
      </c>
      <c r="B29" t="s">
        <v>1736</v>
      </c>
      <c r="C29" t="str">
        <f>"9780323997355"</f>
        <v>9780323997355</v>
      </c>
      <c r="D29" t="str">
        <f>"9780323997362"</f>
        <v>9780323997362</v>
      </c>
      <c r="E29" t="s">
        <v>1699</v>
      </c>
      <c r="F29" t="s">
        <v>1699</v>
      </c>
      <c r="G29" s="1">
        <v>44743</v>
      </c>
      <c r="H29" s="1">
        <v>44746</v>
      </c>
      <c r="J29" t="s">
        <v>1737</v>
      </c>
      <c r="K29" t="s">
        <v>1738</v>
      </c>
      <c r="L29" t="s">
        <v>202</v>
      </c>
      <c r="M29" t="s">
        <v>1739</v>
      </c>
      <c r="N29">
        <v>333.7</v>
      </c>
      <c r="O29" t="s">
        <v>1740</v>
      </c>
      <c r="P29" t="s">
        <v>18</v>
      </c>
    </row>
    <row r="30" spans="1:16" x14ac:dyDescent="0.35">
      <c r="A30">
        <v>7014270</v>
      </c>
      <c r="B30" t="s">
        <v>1741</v>
      </c>
      <c r="C30" t="str">
        <f>"9783036400792"</f>
        <v>9783036400792</v>
      </c>
      <c r="D30" t="str">
        <f>"9783036410791"</f>
        <v>9783036410791</v>
      </c>
      <c r="E30" t="s">
        <v>1649</v>
      </c>
      <c r="F30" t="s">
        <v>1649</v>
      </c>
      <c r="G30" s="1">
        <v>44742</v>
      </c>
      <c r="H30" s="1">
        <v>44722</v>
      </c>
      <c r="I30">
        <v>1</v>
      </c>
      <c r="J30" t="s">
        <v>1671</v>
      </c>
      <c r="K30" t="s">
        <v>1742</v>
      </c>
      <c r="L30" t="s">
        <v>1743</v>
      </c>
      <c r="P30" t="s">
        <v>18</v>
      </c>
    </row>
    <row r="31" spans="1:16" x14ac:dyDescent="0.35">
      <c r="A31">
        <v>7022042</v>
      </c>
      <c r="B31" t="s">
        <v>1744</v>
      </c>
      <c r="C31" t="str">
        <f>"9781789248661"</f>
        <v>9781789248661</v>
      </c>
      <c r="D31" t="str">
        <f>"9781789248685"</f>
        <v>9781789248685</v>
      </c>
      <c r="E31" t="s">
        <v>333</v>
      </c>
      <c r="F31" t="s">
        <v>333</v>
      </c>
      <c r="G31" s="1">
        <v>44742</v>
      </c>
      <c r="H31" s="1">
        <v>44739</v>
      </c>
      <c r="K31" t="s">
        <v>1745</v>
      </c>
      <c r="L31" t="s">
        <v>42</v>
      </c>
      <c r="N31">
        <v>338.47910000000002</v>
      </c>
      <c r="P31" t="s">
        <v>18</v>
      </c>
    </row>
    <row r="32" spans="1:16" x14ac:dyDescent="0.35">
      <c r="A32">
        <v>7079207</v>
      </c>
      <c r="B32" t="s">
        <v>1746</v>
      </c>
      <c r="C32" t="str">
        <f>""</f>
        <v/>
      </c>
      <c r="D32" t="str">
        <f>"9781804553473"</f>
        <v>9781804553473</v>
      </c>
      <c r="E32" t="s">
        <v>187</v>
      </c>
      <c r="F32" t="s">
        <v>187</v>
      </c>
      <c r="G32" s="1">
        <v>44742</v>
      </c>
      <c r="H32" s="1">
        <v>44805</v>
      </c>
      <c r="J32" t="s">
        <v>1747</v>
      </c>
      <c r="K32" t="s">
        <v>1748</v>
      </c>
      <c r="L32" t="s">
        <v>28</v>
      </c>
      <c r="P32" t="s">
        <v>18</v>
      </c>
    </row>
    <row r="33" spans="1:16" x14ac:dyDescent="0.35">
      <c r="A33">
        <v>7021265</v>
      </c>
      <c r="B33" t="s">
        <v>1749</v>
      </c>
      <c r="C33" t="str">
        <f>"9780323886680"</f>
        <v>9780323886680</v>
      </c>
      <c r="D33" t="str">
        <f>"9780323884259"</f>
        <v>9780323884259</v>
      </c>
      <c r="E33" t="s">
        <v>1699</v>
      </c>
      <c r="F33" t="s">
        <v>1699</v>
      </c>
      <c r="G33" s="1">
        <v>44740</v>
      </c>
      <c r="H33" s="1">
        <v>44736</v>
      </c>
      <c r="K33" t="s">
        <v>1750</v>
      </c>
      <c r="L33" t="s">
        <v>1751</v>
      </c>
      <c r="M33" t="s">
        <v>1752</v>
      </c>
      <c r="N33">
        <v>333.79300000000001</v>
      </c>
      <c r="O33" t="s">
        <v>1753</v>
      </c>
      <c r="P33" t="s">
        <v>18</v>
      </c>
    </row>
    <row r="34" spans="1:16" x14ac:dyDescent="0.35">
      <c r="A34">
        <v>7018201</v>
      </c>
      <c r="B34" t="s">
        <v>1754</v>
      </c>
      <c r="C34" t="str">
        <f>"9780323961196"</f>
        <v>9780323961196</v>
      </c>
      <c r="D34" t="str">
        <f>"9780323995733"</f>
        <v>9780323995733</v>
      </c>
      <c r="E34" t="s">
        <v>190</v>
      </c>
      <c r="F34" t="s">
        <v>191</v>
      </c>
      <c r="G34" s="1">
        <v>44736</v>
      </c>
      <c r="H34" s="1">
        <v>44729</v>
      </c>
      <c r="K34" t="s">
        <v>1755</v>
      </c>
      <c r="L34" t="s">
        <v>76</v>
      </c>
      <c r="M34" t="s">
        <v>1756</v>
      </c>
      <c r="N34">
        <v>660.6</v>
      </c>
      <c r="O34" t="s">
        <v>1757</v>
      </c>
      <c r="P34" t="s">
        <v>18</v>
      </c>
    </row>
    <row r="35" spans="1:16" x14ac:dyDescent="0.35">
      <c r="A35">
        <v>7021910</v>
      </c>
      <c r="B35" t="s">
        <v>1758</v>
      </c>
      <c r="C35" t="str">
        <f>"9780323905909"</f>
        <v>9780323905909</v>
      </c>
      <c r="D35" t="str">
        <f>"9780323913263"</f>
        <v>9780323913263</v>
      </c>
      <c r="E35" t="s">
        <v>1699</v>
      </c>
      <c r="F35" t="s">
        <v>1699</v>
      </c>
      <c r="G35" s="1">
        <v>44736</v>
      </c>
      <c r="H35" s="1">
        <v>44739</v>
      </c>
      <c r="K35" t="s">
        <v>1759</v>
      </c>
      <c r="L35" t="s">
        <v>1760</v>
      </c>
      <c r="M35" t="s">
        <v>1761</v>
      </c>
      <c r="N35">
        <v>660.62</v>
      </c>
      <c r="O35" t="s">
        <v>1762</v>
      </c>
      <c r="P35" t="s">
        <v>18</v>
      </c>
    </row>
    <row r="36" spans="1:16" x14ac:dyDescent="0.35">
      <c r="A36">
        <v>7045765</v>
      </c>
      <c r="B36" t="s">
        <v>1763</v>
      </c>
      <c r="C36" t="str">
        <f>"9781668442258"</f>
        <v>9781668442258</v>
      </c>
      <c r="D36" t="str">
        <f>"9781668442272"</f>
        <v>9781668442272</v>
      </c>
      <c r="E36" t="s">
        <v>138</v>
      </c>
      <c r="F36" t="s">
        <v>1764</v>
      </c>
      <c r="G36" s="1">
        <v>44736</v>
      </c>
      <c r="H36" s="1">
        <v>44760</v>
      </c>
      <c r="K36" t="s">
        <v>1765</v>
      </c>
      <c r="L36" t="s">
        <v>163</v>
      </c>
      <c r="M36" t="s">
        <v>1766</v>
      </c>
      <c r="N36">
        <v>363.70028500000001</v>
      </c>
      <c r="O36" t="s">
        <v>1767</v>
      </c>
      <c r="P36" t="s">
        <v>18</v>
      </c>
    </row>
    <row r="37" spans="1:16" x14ac:dyDescent="0.35">
      <c r="A37">
        <v>7045766</v>
      </c>
      <c r="B37" t="s">
        <v>1768</v>
      </c>
      <c r="C37" t="str">
        <f>"9781668443224"</f>
        <v>9781668443224</v>
      </c>
      <c r="D37" t="str">
        <f>"9781668443248"</f>
        <v>9781668443248</v>
      </c>
      <c r="E37" t="s">
        <v>138</v>
      </c>
      <c r="F37" t="s">
        <v>1769</v>
      </c>
      <c r="G37" s="1">
        <v>44736</v>
      </c>
      <c r="H37" s="1">
        <v>44760</v>
      </c>
      <c r="K37" t="s">
        <v>1770</v>
      </c>
      <c r="L37" t="s">
        <v>28</v>
      </c>
      <c r="M37" t="s">
        <v>1771</v>
      </c>
      <c r="N37">
        <v>658.42100000000005</v>
      </c>
      <c r="O37" t="s">
        <v>1772</v>
      </c>
      <c r="P37" t="s">
        <v>18</v>
      </c>
    </row>
    <row r="38" spans="1:16" x14ac:dyDescent="0.35">
      <c r="A38">
        <v>7045768</v>
      </c>
      <c r="B38" t="s">
        <v>1773</v>
      </c>
      <c r="C38" t="str">
        <f>"9781668445488"</f>
        <v>9781668445488</v>
      </c>
      <c r="D38" t="str">
        <f>"9781668445501"</f>
        <v>9781668445501</v>
      </c>
      <c r="E38" t="s">
        <v>138</v>
      </c>
      <c r="F38" t="s">
        <v>1764</v>
      </c>
      <c r="G38" s="1">
        <v>44736</v>
      </c>
      <c r="H38" s="1">
        <v>44760</v>
      </c>
      <c r="K38" t="s">
        <v>1774</v>
      </c>
      <c r="L38" t="s">
        <v>83</v>
      </c>
      <c r="M38" t="s">
        <v>1775</v>
      </c>
      <c r="N38">
        <v>320.12</v>
      </c>
      <c r="O38" t="s">
        <v>1776</v>
      </c>
      <c r="P38" t="s">
        <v>18</v>
      </c>
    </row>
    <row r="39" spans="1:16" x14ac:dyDescent="0.35">
      <c r="A39">
        <v>7049507</v>
      </c>
      <c r="B39" t="s">
        <v>1777</v>
      </c>
      <c r="C39" t="str">
        <f>"9781668467503"</f>
        <v>9781668467503</v>
      </c>
      <c r="D39" t="str">
        <f>"9781668467527"</f>
        <v>9781668467527</v>
      </c>
      <c r="E39" t="s">
        <v>138</v>
      </c>
      <c r="F39" t="s">
        <v>1764</v>
      </c>
      <c r="G39" s="1">
        <v>44736</v>
      </c>
      <c r="H39" s="1">
        <v>44768</v>
      </c>
      <c r="K39" t="s">
        <v>1778</v>
      </c>
      <c r="L39" t="s">
        <v>26</v>
      </c>
      <c r="M39" t="s">
        <v>1779</v>
      </c>
      <c r="N39" t="s">
        <v>128</v>
      </c>
      <c r="P39" t="s">
        <v>18</v>
      </c>
    </row>
    <row r="40" spans="1:16" x14ac:dyDescent="0.35">
      <c r="A40">
        <v>7020741</v>
      </c>
      <c r="B40" t="s">
        <v>1780</v>
      </c>
      <c r="C40" t="str">
        <f>"9780128239933"</f>
        <v>9780128239933</v>
      </c>
      <c r="D40" t="str">
        <f>"9780128242469"</f>
        <v>9780128242469</v>
      </c>
      <c r="E40" t="s">
        <v>1699</v>
      </c>
      <c r="F40" t="s">
        <v>1699</v>
      </c>
      <c r="G40" s="1">
        <v>44734</v>
      </c>
      <c r="H40" s="1">
        <v>44735</v>
      </c>
      <c r="K40" t="s">
        <v>1781</v>
      </c>
      <c r="L40" t="s">
        <v>104</v>
      </c>
      <c r="M40" t="s">
        <v>1782</v>
      </c>
      <c r="N40">
        <v>628.54999999999995</v>
      </c>
      <c r="O40" t="s">
        <v>1783</v>
      </c>
      <c r="P40" t="s">
        <v>18</v>
      </c>
    </row>
    <row r="41" spans="1:16" x14ac:dyDescent="0.35">
      <c r="A41">
        <v>6995764</v>
      </c>
      <c r="B41" t="s">
        <v>1784</v>
      </c>
      <c r="C41" t="str">
        <f>""</f>
        <v/>
      </c>
      <c r="D41" t="str">
        <f>"9783110732542"</f>
        <v>9783110732542</v>
      </c>
      <c r="E41" t="s">
        <v>404</v>
      </c>
      <c r="F41" t="s">
        <v>404</v>
      </c>
      <c r="G41" s="1">
        <v>44733</v>
      </c>
      <c r="H41" s="1">
        <v>44704</v>
      </c>
      <c r="K41" t="s">
        <v>1785</v>
      </c>
      <c r="L41" t="s">
        <v>464</v>
      </c>
      <c r="M41" t="s">
        <v>1786</v>
      </c>
      <c r="N41">
        <v>541.39499999999998</v>
      </c>
      <c r="O41" t="s">
        <v>1787</v>
      </c>
      <c r="P41" t="s">
        <v>18</v>
      </c>
    </row>
    <row r="42" spans="1:16" x14ac:dyDescent="0.35">
      <c r="A42">
        <v>7009159</v>
      </c>
      <c r="B42" t="s">
        <v>1788</v>
      </c>
      <c r="C42" t="str">
        <f>"9781668451090"</f>
        <v>9781668451090</v>
      </c>
      <c r="D42" t="str">
        <f>"9781668451106"</f>
        <v>9781668451106</v>
      </c>
      <c r="E42" t="s">
        <v>138</v>
      </c>
      <c r="F42" t="s">
        <v>1789</v>
      </c>
      <c r="G42" s="1">
        <v>44729</v>
      </c>
      <c r="H42" s="1">
        <v>44718</v>
      </c>
      <c r="K42" t="s">
        <v>1778</v>
      </c>
      <c r="L42" t="s">
        <v>38</v>
      </c>
      <c r="M42" t="s">
        <v>1790</v>
      </c>
      <c r="N42">
        <v>303.48329999999999</v>
      </c>
      <c r="O42" t="s">
        <v>1791</v>
      </c>
      <c r="P42" t="s">
        <v>18</v>
      </c>
    </row>
    <row r="43" spans="1:16" x14ac:dyDescent="0.35">
      <c r="A43">
        <v>7009099</v>
      </c>
      <c r="B43" t="s">
        <v>1792</v>
      </c>
      <c r="C43" t="str">
        <f>"9781803824901"</f>
        <v>9781803824901</v>
      </c>
      <c r="D43" t="str">
        <f>"9781803824895"</f>
        <v>9781803824895</v>
      </c>
      <c r="E43" t="s">
        <v>187</v>
      </c>
      <c r="F43" t="s">
        <v>187</v>
      </c>
      <c r="G43" s="1">
        <v>44726</v>
      </c>
      <c r="H43" s="1">
        <v>44718</v>
      </c>
      <c r="J43" t="s">
        <v>1714</v>
      </c>
      <c r="K43" t="s">
        <v>1715</v>
      </c>
      <c r="L43" t="s">
        <v>26</v>
      </c>
      <c r="M43" t="s">
        <v>1716</v>
      </c>
      <c r="N43">
        <v>338.92700000000002</v>
      </c>
      <c r="O43" t="s">
        <v>1793</v>
      </c>
      <c r="P43" t="s">
        <v>18</v>
      </c>
    </row>
    <row r="44" spans="1:16" x14ac:dyDescent="0.35">
      <c r="A44">
        <v>7018920</v>
      </c>
      <c r="B44" t="s">
        <v>1794</v>
      </c>
      <c r="C44" t="str">
        <f>"9781799898108"</f>
        <v>9781799898108</v>
      </c>
      <c r="D44" t="str">
        <f>"9781799898139"</f>
        <v>9781799898139</v>
      </c>
      <c r="E44" t="s">
        <v>138</v>
      </c>
      <c r="F44" t="s">
        <v>1764</v>
      </c>
      <c r="G44" s="1">
        <v>44722</v>
      </c>
      <c r="H44" s="1">
        <v>44732</v>
      </c>
      <c r="K44" t="s">
        <v>1795</v>
      </c>
      <c r="L44" t="s">
        <v>1796</v>
      </c>
      <c r="M44" t="s">
        <v>1797</v>
      </c>
      <c r="N44">
        <v>628</v>
      </c>
      <c r="O44" t="s">
        <v>1798</v>
      </c>
      <c r="P44" t="s">
        <v>18</v>
      </c>
    </row>
    <row r="45" spans="1:16" x14ac:dyDescent="0.35">
      <c r="A45">
        <v>7001520</v>
      </c>
      <c r="B45" t="s">
        <v>1799</v>
      </c>
      <c r="C45" t="str">
        <f>"9781802621549"</f>
        <v>9781802621549</v>
      </c>
      <c r="D45" t="str">
        <f>"9781802621532"</f>
        <v>9781802621532</v>
      </c>
      <c r="E45" t="s">
        <v>187</v>
      </c>
      <c r="F45" t="s">
        <v>187</v>
      </c>
      <c r="G45" s="1">
        <v>44721</v>
      </c>
      <c r="H45" s="1">
        <v>44712</v>
      </c>
      <c r="K45" t="s">
        <v>1800</v>
      </c>
      <c r="L45" t="s">
        <v>41</v>
      </c>
      <c r="M45" t="s">
        <v>1801</v>
      </c>
      <c r="N45">
        <v>338.9</v>
      </c>
      <c r="O45" t="s">
        <v>318</v>
      </c>
      <c r="P45" t="s">
        <v>18</v>
      </c>
    </row>
    <row r="46" spans="1:16" x14ac:dyDescent="0.35">
      <c r="A46">
        <v>7001524</v>
      </c>
      <c r="B46" t="s">
        <v>1802</v>
      </c>
      <c r="C46" t="str">
        <f>"9781803821023"</f>
        <v>9781803821023</v>
      </c>
      <c r="D46" t="str">
        <f>"9781803821030"</f>
        <v>9781803821030</v>
      </c>
      <c r="E46" t="s">
        <v>187</v>
      </c>
      <c r="F46" t="s">
        <v>187</v>
      </c>
      <c r="G46" s="1">
        <v>44721</v>
      </c>
      <c r="H46" s="1">
        <v>44712</v>
      </c>
      <c r="J46" t="s">
        <v>1803</v>
      </c>
      <c r="K46" t="s">
        <v>1804</v>
      </c>
      <c r="L46" t="s">
        <v>400</v>
      </c>
      <c r="M46" t="s">
        <v>1805</v>
      </c>
      <c r="N46">
        <v>929.37400000000002</v>
      </c>
      <c r="O46" t="s">
        <v>507</v>
      </c>
      <c r="P46" t="s">
        <v>18</v>
      </c>
    </row>
    <row r="47" spans="1:16" x14ac:dyDescent="0.35">
      <c r="A47">
        <v>7008867</v>
      </c>
      <c r="B47" t="s">
        <v>1806</v>
      </c>
      <c r="C47" t="str">
        <f>"9780323900348"</f>
        <v>9780323900348</v>
      </c>
      <c r="D47" t="str">
        <f>"9780323885812"</f>
        <v>9780323885812</v>
      </c>
      <c r="E47" t="s">
        <v>1699</v>
      </c>
      <c r="F47" t="s">
        <v>1699</v>
      </c>
      <c r="G47" s="1">
        <v>44721</v>
      </c>
      <c r="H47" s="1">
        <v>44717</v>
      </c>
      <c r="K47" t="s">
        <v>1807</v>
      </c>
      <c r="L47" t="s">
        <v>1808</v>
      </c>
      <c r="M47" t="s">
        <v>1809</v>
      </c>
      <c r="N47">
        <v>628.5</v>
      </c>
      <c r="O47" t="s">
        <v>1810</v>
      </c>
      <c r="P47" t="s">
        <v>18</v>
      </c>
    </row>
    <row r="48" spans="1:16" x14ac:dyDescent="0.35">
      <c r="A48">
        <v>7008458</v>
      </c>
      <c r="B48" t="s">
        <v>1811</v>
      </c>
      <c r="C48" t="str">
        <f>"9780128224618"</f>
        <v>9780128224618</v>
      </c>
      <c r="D48" t="str">
        <f>"9780128224625"</f>
        <v>9780128224625</v>
      </c>
      <c r="E48" t="s">
        <v>1699</v>
      </c>
      <c r="F48" t="s">
        <v>1699</v>
      </c>
      <c r="G48" s="1">
        <v>44720</v>
      </c>
      <c r="H48" s="1">
        <v>44716</v>
      </c>
      <c r="K48" t="s">
        <v>1812</v>
      </c>
      <c r="L48" t="s">
        <v>129</v>
      </c>
      <c r="M48" t="s">
        <v>1813</v>
      </c>
      <c r="N48">
        <v>624.02840000000003</v>
      </c>
      <c r="O48" t="s">
        <v>117</v>
      </c>
      <c r="P48" t="s">
        <v>18</v>
      </c>
    </row>
    <row r="49" spans="1:16" x14ac:dyDescent="0.35">
      <c r="A49">
        <v>7000373</v>
      </c>
      <c r="B49" t="s">
        <v>1814</v>
      </c>
      <c r="C49" t="str">
        <f>"9781685077068"</f>
        <v>9781685077068</v>
      </c>
      <c r="D49" t="str">
        <f>"9781685079215"</f>
        <v>9781685079215</v>
      </c>
      <c r="E49" t="s">
        <v>1689</v>
      </c>
      <c r="F49" t="s">
        <v>1689</v>
      </c>
      <c r="G49" s="1">
        <v>44713</v>
      </c>
      <c r="H49" s="1">
        <v>44708</v>
      </c>
      <c r="I49">
        <v>1</v>
      </c>
      <c r="J49" t="s">
        <v>1815</v>
      </c>
      <c r="K49" t="s">
        <v>1816</v>
      </c>
      <c r="L49" t="s">
        <v>1817</v>
      </c>
      <c r="P49" t="s">
        <v>18</v>
      </c>
    </row>
    <row r="50" spans="1:16" x14ac:dyDescent="0.35">
      <c r="A50">
        <v>7001352</v>
      </c>
      <c r="B50" t="s">
        <v>1818</v>
      </c>
      <c r="C50" t="str">
        <f>"9780323906364"</f>
        <v>9780323906364</v>
      </c>
      <c r="D50" t="str">
        <f>"9780323998246"</f>
        <v>9780323998246</v>
      </c>
      <c r="E50" t="s">
        <v>190</v>
      </c>
      <c r="F50" t="s">
        <v>191</v>
      </c>
      <c r="G50" s="1">
        <v>44712</v>
      </c>
      <c r="H50" s="1">
        <v>44711</v>
      </c>
      <c r="J50" t="s">
        <v>1707</v>
      </c>
      <c r="K50" t="s">
        <v>1708</v>
      </c>
      <c r="L50" t="s">
        <v>168</v>
      </c>
      <c r="M50" t="s">
        <v>1819</v>
      </c>
      <c r="N50">
        <v>631.53499999999997</v>
      </c>
      <c r="O50" t="s">
        <v>1820</v>
      </c>
      <c r="P50" t="s">
        <v>18</v>
      </c>
    </row>
    <row r="51" spans="1:16" x14ac:dyDescent="0.35">
      <c r="A51">
        <v>6995716</v>
      </c>
      <c r="B51" t="s">
        <v>1821</v>
      </c>
      <c r="C51" t="str">
        <f>"9781801177337"</f>
        <v>9781801177337</v>
      </c>
      <c r="D51" t="str">
        <f>"9781801177344"</f>
        <v>9781801177344</v>
      </c>
      <c r="E51" t="s">
        <v>187</v>
      </c>
      <c r="F51" t="s">
        <v>187</v>
      </c>
      <c r="G51" s="1">
        <v>44711</v>
      </c>
      <c r="H51" s="1">
        <v>44704</v>
      </c>
      <c r="J51" t="s">
        <v>1822</v>
      </c>
      <c r="K51" t="s">
        <v>1823</v>
      </c>
      <c r="L51" t="s">
        <v>26</v>
      </c>
      <c r="M51" t="s">
        <v>1824</v>
      </c>
      <c r="N51">
        <v>338.92700000000002</v>
      </c>
      <c r="O51" t="s">
        <v>1825</v>
      </c>
      <c r="P51" t="s">
        <v>18</v>
      </c>
    </row>
    <row r="52" spans="1:16" x14ac:dyDescent="0.35">
      <c r="A52">
        <v>7002510</v>
      </c>
      <c r="B52" t="s">
        <v>1826</v>
      </c>
      <c r="C52" t="str">
        <f>"9781668451137"</f>
        <v>9781668451137</v>
      </c>
      <c r="D52" t="str">
        <f>"9781668451151"</f>
        <v>9781668451151</v>
      </c>
      <c r="E52" t="s">
        <v>138</v>
      </c>
      <c r="F52" t="s">
        <v>1764</v>
      </c>
      <c r="G52" s="1">
        <v>44708</v>
      </c>
      <c r="H52" s="1">
        <v>44713</v>
      </c>
      <c r="K52" t="s">
        <v>1778</v>
      </c>
      <c r="L52" t="s">
        <v>41</v>
      </c>
      <c r="M52" t="s">
        <v>1827</v>
      </c>
      <c r="N52" t="s">
        <v>128</v>
      </c>
      <c r="O52" t="s">
        <v>1828</v>
      </c>
      <c r="P52" t="s">
        <v>18</v>
      </c>
    </row>
    <row r="53" spans="1:16" x14ac:dyDescent="0.35">
      <c r="A53">
        <v>7077994</v>
      </c>
      <c r="B53" t="s">
        <v>1829</v>
      </c>
      <c r="C53" t="str">
        <f>"9781668446669"</f>
        <v>9781668446669</v>
      </c>
      <c r="D53" t="str">
        <f>"9781668446683"</f>
        <v>9781668446683</v>
      </c>
      <c r="E53" t="s">
        <v>138</v>
      </c>
      <c r="F53" t="s">
        <v>1769</v>
      </c>
      <c r="G53" s="1">
        <v>44708</v>
      </c>
      <c r="H53" s="1">
        <v>44801</v>
      </c>
      <c r="K53" t="s">
        <v>1830</v>
      </c>
      <c r="L53" t="s">
        <v>49</v>
      </c>
      <c r="M53" t="s">
        <v>1831</v>
      </c>
      <c r="N53">
        <v>361.76499999999999</v>
      </c>
      <c r="P53" t="s">
        <v>18</v>
      </c>
    </row>
    <row r="54" spans="1:16" x14ac:dyDescent="0.35">
      <c r="A54">
        <v>7079202</v>
      </c>
      <c r="B54" t="s">
        <v>1832</v>
      </c>
      <c r="C54" t="str">
        <f>""</f>
        <v/>
      </c>
      <c r="D54" t="str">
        <f>"9781804553152"</f>
        <v>9781804553152</v>
      </c>
      <c r="E54" t="s">
        <v>187</v>
      </c>
      <c r="F54" t="s">
        <v>187</v>
      </c>
      <c r="G54" s="1">
        <v>44708</v>
      </c>
      <c r="H54" s="1">
        <v>44805</v>
      </c>
      <c r="J54" t="s">
        <v>1833</v>
      </c>
      <c r="K54" t="s">
        <v>1834</v>
      </c>
      <c r="L54" t="s">
        <v>42</v>
      </c>
      <c r="P54" t="s">
        <v>18</v>
      </c>
    </row>
    <row r="55" spans="1:16" x14ac:dyDescent="0.35">
      <c r="A55">
        <v>6986679</v>
      </c>
      <c r="B55" t="s">
        <v>1835</v>
      </c>
      <c r="C55" t="str">
        <f>"9781801178716"</f>
        <v>9781801178716</v>
      </c>
      <c r="D55" t="str">
        <f>"9781801178709"</f>
        <v>9781801178709</v>
      </c>
      <c r="E55" t="s">
        <v>187</v>
      </c>
      <c r="F55" t="s">
        <v>187</v>
      </c>
      <c r="G55" s="1">
        <v>44706</v>
      </c>
      <c r="H55" s="1">
        <v>44697</v>
      </c>
      <c r="K55" t="s">
        <v>1836</v>
      </c>
      <c r="L55" t="s">
        <v>26</v>
      </c>
      <c r="M55" t="s">
        <v>1837</v>
      </c>
      <c r="N55">
        <v>337</v>
      </c>
      <c r="O55" t="s">
        <v>1838</v>
      </c>
      <c r="P55" t="s">
        <v>18</v>
      </c>
    </row>
    <row r="56" spans="1:16" x14ac:dyDescent="0.35">
      <c r="A56">
        <v>6995519</v>
      </c>
      <c r="B56" t="s">
        <v>1839</v>
      </c>
      <c r="C56" t="str">
        <f>"9780323961424"</f>
        <v>9780323961424</v>
      </c>
      <c r="D56" t="str">
        <f>"9780323961431"</f>
        <v>9780323961431</v>
      </c>
      <c r="E56" t="s">
        <v>1699</v>
      </c>
      <c r="F56" t="s">
        <v>1699</v>
      </c>
      <c r="G56" s="1">
        <v>44706</v>
      </c>
      <c r="H56" s="1">
        <v>44703</v>
      </c>
      <c r="K56" t="s">
        <v>1840</v>
      </c>
      <c r="L56" t="s">
        <v>76</v>
      </c>
      <c r="M56" t="s">
        <v>1841</v>
      </c>
      <c r="N56">
        <v>662.88</v>
      </c>
      <c r="O56" t="s">
        <v>1842</v>
      </c>
      <c r="P56" t="s">
        <v>18</v>
      </c>
    </row>
    <row r="57" spans="1:16" x14ac:dyDescent="0.35">
      <c r="A57">
        <v>6986682</v>
      </c>
      <c r="B57" t="s">
        <v>1843</v>
      </c>
      <c r="C57" t="str">
        <f>"9781801176873"</f>
        <v>9781801176873</v>
      </c>
      <c r="D57" t="str">
        <f>"9781801176880"</f>
        <v>9781801176880</v>
      </c>
      <c r="E57" t="s">
        <v>187</v>
      </c>
      <c r="F57" t="s">
        <v>187</v>
      </c>
      <c r="G57" s="1">
        <v>44704</v>
      </c>
      <c r="H57" s="1">
        <v>44697</v>
      </c>
      <c r="K57" t="s">
        <v>1844</v>
      </c>
      <c r="L57" t="s">
        <v>26</v>
      </c>
      <c r="M57" t="s">
        <v>1845</v>
      </c>
      <c r="N57">
        <v>338.96069999999997</v>
      </c>
      <c r="O57" t="s">
        <v>1846</v>
      </c>
      <c r="P57" t="s">
        <v>18</v>
      </c>
    </row>
    <row r="58" spans="1:16" x14ac:dyDescent="0.35">
      <c r="A58">
        <v>6986684</v>
      </c>
      <c r="B58" t="s">
        <v>1847</v>
      </c>
      <c r="C58" t="str">
        <f>"9781801179676"</f>
        <v>9781801179676</v>
      </c>
      <c r="D58" t="str">
        <f>"9781801179669"</f>
        <v>9781801179669</v>
      </c>
      <c r="E58" t="s">
        <v>187</v>
      </c>
      <c r="F58" t="s">
        <v>187</v>
      </c>
      <c r="G58" s="1">
        <v>44704</v>
      </c>
      <c r="H58" s="1">
        <v>44697</v>
      </c>
      <c r="J58" t="s">
        <v>1678</v>
      </c>
      <c r="K58" t="s">
        <v>1848</v>
      </c>
      <c r="L58" t="s">
        <v>110</v>
      </c>
      <c r="M58" t="s">
        <v>1849</v>
      </c>
      <c r="N58">
        <v>174.4</v>
      </c>
      <c r="O58" t="s">
        <v>1850</v>
      </c>
      <c r="P58" t="s">
        <v>18</v>
      </c>
    </row>
    <row r="59" spans="1:16" x14ac:dyDescent="0.35">
      <c r="A59">
        <v>7079196</v>
      </c>
      <c r="B59" t="s">
        <v>1851</v>
      </c>
      <c r="C59" t="str">
        <f>""</f>
        <v/>
      </c>
      <c r="D59" t="str">
        <f>"9781804552872"</f>
        <v>9781804552872</v>
      </c>
      <c r="E59" t="s">
        <v>187</v>
      </c>
      <c r="F59" t="s">
        <v>187</v>
      </c>
      <c r="G59" s="1">
        <v>44701</v>
      </c>
      <c r="H59" s="1">
        <v>44805</v>
      </c>
      <c r="J59" t="s">
        <v>1852</v>
      </c>
      <c r="K59" t="s">
        <v>1853</v>
      </c>
      <c r="L59" t="s">
        <v>28</v>
      </c>
      <c r="P59" t="s">
        <v>18</v>
      </c>
    </row>
    <row r="60" spans="1:16" x14ac:dyDescent="0.35">
      <c r="A60">
        <v>6986713</v>
      </c>
      <c r="B60" t="s">
        <v>1854</v>
      </c>
      <c r="C60" t="str">
        <f>"9780323853439"</f>
        <v>9780323853439</v>
      </c>
      <c r="D60" t="str">
        <f>"9780323853446"</f>
        <v>9780323853446</v>
      </c>
      <c r="E60" t="s">
        <v>190</v>
      </c>
      <c r="F60" t="s">
        <v>191</v>
      </c>
      <c r="G60" s="1">
        <v>44700</v>
      </c>
      <c r="H60" s="1">
        <v>44697</v>
      </c>
      <c r="K60" t="s">
        <v>1855</v>
      </c>
      <c r="L60" t="s">
        <v>1856</v>
      </c>
      <c r="M60" t="s">
        <v>1857</v>
      </c>
      <c r="N60">
        <v>631.86</v>
      </c>
      <c r="O60" t="s">
        <v>1858</v>
      </c>
      <c r="P60" t="s">
        <v>18</v>
      </c>
    </row>
    <row r="61" spans="1:16" x14ac:dyDescent="0.35">
      <c r="A61">
        <v>6955503</v>
      </c>
      <c r="B61" t="s">
        <v>1859</v>
      </c>
      <c r="C61" t="str">
        <f>"9783036400020"</f>
        <v>9783036400020</v>
      </c>
      <c r="D61" t="str">
        <f>"9783036410029"</f>
        <v>9783036410029</v>
      </c>
      <c r="E61" t="s">
        <v>1649</v>
      </c>
      <c r="F61" t="s">
        <v>1649</v>
      </c>
      <c r="G61" s="1">
        <v>44699</v>
      </c>
      <c r="H61" s="1">
        <v>44672</v>
      </c>
      <c r="I61">
        <v>1</v>
      </c>
      <c r="J61" t="s">
        <v>1860</v>
      </c>
      <c r="K61" t="s">
        <v>1861</v>
      </c>
      <c r="L61" t="s">
        <v>27</v>
      </c>
      <c r="M61" t="s">
        <v>1862</v>
      </c>
      <c r="N61">
        <v>741.949409049</v>
      </c>
      <c r="O61" t="s">
        <v>1863</v>
      </c>
      <c r="P61" t="s">
        <v>18</v>
      </c>
    </row>
    <row r="62" spans="1:16" x14ac:dyDescent="0.35">
      <c r="A62">
        <v>6955013</v>
      </c>
      <c r="B62" t="s">
        <v>1741</v>
      </c>
      <c r="C62" t="str">
        <f>"9783035726466"</f>
        <v>9783035726466</v>
      </c>
      <c r="D62" t="str">
        <f>"9783035725452"</f>
        <v>9783035725452</v>
      </c>
      <c r="E62" t="s">
        <v>1649</v>
      </c>
      <c r="F62" t="s">
        <v>1649</v>
      </c>
      <c r="G62" s="1">
        <v>44694</v>
      </c>
      <c r="H62" s="1">
        <v>44671</v>
      </c>
      <c r="I62">
        <v>1</v>
      </c>
      <c r="J62" t="s">
        <v>1671</v>
      </c>
      <c r="K62" t="s">
        <v>1864</v>
      </c>
      <c r="L62" t="s">
        <v>105</v>
      </c>
      <c r="M62" t="s">
        <v>1865</v>
      </c>
      <c r="N62">
        <v>363.7</v>
      </c>
      <c r="O62" t="s">
        <v>1866</v>
      </c>
      <c r="P62" t="s">
        <v>18</v>
      </c>
    </row>
    <row r="63" spans="1:16" x14ac:dyDescent="0.35">
      <c r="A63">
        <v>6970148</v>
      </c>
      <c r="B63" t="s">
        <v>1867</v>
      </c>
      <c r="C63" t="str">
        <f>"9781799895909"</f>
        <v>9781799895909</v>
      </c>
      <c r="D63" t="str">
        <f>"9781799895923"</f>
        <v>9781799895923</v>
      </c>
      <c r="E63" t="s">
        <v>138</v>
      </c>
      <c r="F63" t="s">
        <v>1764</v>
      </c>
      <c r="G63" s="1">
        <v>44694</v>
      </c>
      <c r="H63" s="1">
        <v>44684</v>
      </c>
      <c r="K63" t="s">
        <v>1868</v>
      </c>
      <c r="L63" t="s">
        <v>41</v>
      </c>
      <c r="M63" t="s">
        <v>1869</v>
      </c>
      <c r="N63">
        <v>338.92700000000002</v>
      </c>
      <c r="O63" t="s">
        <v>1870</v>
      </c>
      <c r="P63" t="s">
        <v>18</v>
      </c>
    </row>
    <row r="64" spans="1:16" x14ac:dyDescent="0.35">
      <c r="A64">
        <v>7079173</v>
      </c>
      <c r="B64" t="s">
        <v>1871</v>
      </c>
      <c r="C64" t="str">
        <f>""</f>
        <v/>
      </c>
      <c r="D64" t="str">
        <f>"9781804552063"</f>
        <v>9781804552063</v>
      </c>
      <c r="E64" t="s">
        <v>187</v>
      </c>
      <c r="F64" t="s">
        <v>187</v>
      </c>
      <c r="G64" s="1">
        <v>44691</v>
      </c>
      <c r="H64" s="1">
        <v>44805</v>
      </c>
      <c r="J64" t="s">
        <v>1872</v>
      </c>
      <c r="K64" t="s">
        <v>1873</v>
      </c>
      <c r="L64" t="s">
        <v>42</v>
      </c>
      <c r="P64" t="s">
        <v>18</v>
      </c>
    </row>
    <row r="65" spans="1:16" x14ac:dyDescent="0.35">
      <c r="A65">
        <v>6978071</v>
      </c>
      <c r="B65" t="s">
        <v>1874</v>
      </c>
      <c r="C65" t="str">
        <f>"9781668440308"</f>
        <v>9781668440308</v>
      </c>
      <c r="D65" t="str">
        <f>"9781668440322"</f>
        <v>9781668440322</v>
      </c>
      <c r="E65" t="s">
        <v>138</v>
      </c>
      <c r="F65" t="s">
        <v>1764</v>
      </c>
      <c r="G65" s="1">
        <v>44680</v>
      </c>
      <c r="H65" s="1">
        <v>44691</v>
      </c>
      <c r="K65" t="s">
        <v>1875</v>
      </c>
      <c r="L65" t="s">
        <v>38</v>
      </c>
      <c r="M65" t="s">
        <v>1876</v>
      </c>
      <c r="N65">
        <v>307.76</v>
      </c>
      <c r="O65" t="s">
        <v>1877</v>
      </c>
      <c r="P65" t="s">
        <v>18</v>
      </c>
    </row>
    <row r="66" spans="1:16" x14ac:dyDescent="0.35">
      <c r="A66">
        <v>7079181</v>
      </c>
      <c r="B66" t="s">
        <v>1878</v>
      </c>
      <c r="C66" t="str">
        <f>""</f>
        <v/>
      </c>
      <c r="D66" t="str">
        <f>"9781804551004"</f>
        <v>9781804551004</v>
      </c>
      <c r="E66" t="s">
        <v>187</v>
      </c>
      <c r="F66" t="s">
        <v>187</v>
      </c>
      <c r="G66" s="1">
        <v>44679</v>
      </c>
      <c r="H66" s="1">
        <v>44805</v>
      </c>
      <c r="J66" t="s">
        <v>1879</v>
      </c>
      <c r="K66" t="s">
        <v>1880</v>
      </c>
      <c r="L66" t="s">
        <v>42</v>
      </c>
      <c r="P66" t="s">
        <v>18</v>
      </c>
    </row>
    <row r="67" spans="1:16" x14ac:dyDescent="0.35">
      <c r="A67">
        <v>6954132</v>
      </c>
      <c r="B67" t="s">
        <v>1881</v>
      </c>
      <c r="C67" t="str">
        <f>"9781802624502"</f>
        <v>9781802624502</v>
      </c>
      <c r="D67" t="str">
        <f>"9781802624496"</f>
        <v>9781802624496</v>
      </c>
      <c r="E67" t="s">
        <v>187</v>
      </c>
      <c r="F67" t="s">
        <v>187</v>
      </c>
      <c r="G67" s="1">
        <v>44676</v>
      </c>
      <c r="H67" s="1">
        <v>44669</v>
      </c>
      <c r="J67" t="s">
        <v>1882</v>
      </c>
      <c r="K67" t="s">
        <v>1883</v>
      </c>
      <c r="L67" t="s">
        <v>398</v>
      </c>
      <c r="M67" t="s">
        <v>1884</v>
      </c>
      <c r="N67">
        <v>720.47</v>
      </c>
      <c r="O67" t="s">
        <v>1885</v>
      </c>
      <c r="P67" t="s">
        <v>18</v>
      </c>
    </row>
    <row r="68" spans="1:16" x14ac:dyDescent="0.35">
      <c r="A68">
        <v>6952727</v>
      </c>
      <c r="B68" t="s">
        <v>1886</v>
      </c>
      <c r="C68" t="str">
        <f>"9780323911801"</f>
        <v>9780323911801</v>
      </c>
      <c r="D68" t="str">
        <f>"9780323984850"</f>
        <v>9780323984850</v>
      </c>
      <c r="E68" t="s">
        <v>1699</v>
      </c>
      <c r="F68" t="s">
        <v>1699</v>
      </c>
      <c r="G68" s="1">
        <v>44673</v>
      </c>
      <c r="H68" s="1">
        <v>44666</v>
      </c>
      <c r="K68" t="s">
        <v>1887</v>
      </c>
      <c r="L68" t="s">
        <v>104</v>
      </c>
      <c r="M68" t="s">
        <v>1888</v>
      </c>
      <c r="N68">
        <v>628.29999999999995</v>
      </c>
      <c r="O68" t="s">
        <v>1889</v>
      </c>
      <c r="P68" t="s">
        <v>18</v>
      </c>
    </row>
    <row r="69" spans="1:16" x14ac:dyDescent="0.35">
      <c r="A69">
        <v>6970155</v>
      </c>
      <c r="B69" t="s">
        <v>1890</v>
      </c>
      <c r="C69" t="str">
        <f>"9781668445280"</f>
        <v>9781668445280</v>
      </c>
      <c r="D69" t="str">
        <f>"9781668445297"</f>
        <v>9781668445297</v>
      </c>
      <c r="E69" t="s">
        <v>138</v>
      </c>
      <c r="F69" t="s">
        <v>1789</v>
      </c>
      <c r="G69" s="1">
        <v>44673</v>
      </c>
      <c r="H69" s="1">
        <v>44684</v>
      </c>
      <c r="K69" t="s">
        <v>1891</v>
      </c>
      <c r="L69" t="s">
        <v>30</v>
      </c>
      <c r="M69" t="s">
        <v>1892</v>
      </c>
      <c r="N69">
        <v>370.11599999999999</v>
      </c>
      <c r="O69" t="s">
        <v>1893</v>
      </c>
      <c r="P69" t="s">
        <v>18</v>
      </c>
    </row>
    <row r="70" spans="1:16" x14ac:dyDescent="0.35">
      <c r="A70">
        <v>6970157</v>
      </c>
      <c r="B70" t="s">
        <v>1894</v>
      </c>
      <c r="C70" t="str">
        <f>"9781799892175"</f>
        <v>9781799892175</v>
      </c>
      <c r="D70" t="str">
        <f>"9781799892199"</f>
        <v>9781799892199</v>
      </c>
      <c r="E70" t="s">
        <v>138</v>
      </c>
      <c r="F70" t="s">
        <v>1769</v>
      </c>
      <c r="G70" s="1">
        <v>44673</v>
      </c>
      <c r="H70" s="1">
        <v>44684</v>
      </c>
      <c r="K70" t="s">
        <v>1895</v>
      </c>
      <c r="L70" t="s">
        <v>308</v>
      </c>
      <c r="M70" t="s">
        <v>1896</v>
      </c>
      <c r="N70">
        <v>338.47910000000002</v>
      </c>
      <c r="O70" t="s">
        <v>1897</v>
      </c>
      <c r="P70" t="s">
        <v>18</v>
      </c>
    </row>
    <row r="71" spans="1:16" x14ac:dyDescent="0.35">
      <c r="A71">
        <v>6953629</v>
      </c>
      <c r="B71" t="s">
        <v>1898</v>
      </c>
      <c r="C71" t="str">
        <f>"9780323858519"</f>
        <v>9780323858519</v>
      </c>
      <c r="D71" t="str">
        <f>"9780323897990"</f>
        <v>9780323897990</v>
      </c>
      <c r="E71" t="s">
        <v>1699</v>
      </c>
      <c r="F71" t="s">
        <v>1699</v>
      </c>
      <c r="G71" s="1">
        <v>44672</v>
      </c>
      <c r="H71" s="1">
        <v>44667</v>
      </c>
      <c r="K71" t="s">
        <v>1899</v>
      </c>
      <c r="L71" t="s">
        <v>26</v>
      </c>
      <c r="M71" t="s">
        <v>1900</v>
      </c>
      <c r="N71">
        <v>338.92700000000002</v>
      </c>
      <c r="O71" t="s">
        <v>503</v>
      </c>
      <c r="P71" t="s">
        <v>18</v>
      </c>
    </row>
    <row r="72" spans="1:16" x14ac:dyDescent="0.35">
      <c r="A72">
        <v>6950318</v>
      </c>
      <c r="B72" t="s">
        <v>1901</v>
      </c>
      <c r="C72" t="str">
        <f>"9781802628081"</f>
        <v>9781802628081</v>
      </c>
      <c r="D72" t="str">
        <f>"9781802628074"</f>
        <v>9781802628074</v>
      </c>
      <c r="E72" t="s">
        <v>187</v>
      </c>
      <c r="F72" t="s">
        <v>187</v>
      </c>
      <c r="G72" s="1">
        <v>44670</v>
      </c>
      <c r="H72" s="1">
        <v>44662</v>
      </c>
      <c r="K72" t="s">
        <v>1902</v>
      </c>
      <c r="L72" t="s">
        <v>28</v>
      </c>
      <c r="M72" t="s">
        <v>1903</v>
      </c>
      <c r="N72">
        <v>658.40599999999995</v>
      </c>
      <c r="O72" t="s">
        <v>1904</v>
      </c>
      <c r="P72" t="s">
        <v>18</v>
      </c>
    </row>
    <row r="73" spans="1:16" x14ac:dyDescent="0.35">
      <c r="A73">
        <v>6950324</v>
      </c>
      <c r="B73" t="s">
        <v>1905</v>
      </c>
      <c r="C73" t="str">
        <f>"9781803820668"</f>
        <v>9781803820668</v>
      </c>
      <c r="D73" t="str">
        <f>"9781803820651"</f>
        <v>9781803820651</v>
      </c>
      <c r="E73" t="s">
        <v>187</v>
      </c>
      <c r="F73" t="s">
        <v>187</v>
      </c>
      <c r="G73" s="1">
        <v>44669</v>
      </c>
      <c r="H73" s="1">
        <v>44662</v>
      </c>
      <c r="J73" t="s">
        <v>1803</v>
      </c>
      <c r="K73" t="s">
        <v>1906</v>
      </c>
      <c r="L73" t="s">
        <v>28</v>
      </c>
      <c r="M73" t="s">
        <v>1907</v>
      </c>
      <c r="N73">
        <v>658.40800000000002</v>
      </c>
      <c r="O73" t="s">
        <v>1908</v>
      </c>
      <c r="P73" t="s">
        <v>18</v>
      </c>
    </row>
    <row r="74" spans="1:16" x14ac:dyDescent="0.35">
      <c r="A74">
        <v>6975926</v>
      </c>
      <c r="B74" t="s">
        <v>1909</v>
      </c>
      <c r="C74" t="str">
        <f>"9781799893011"</f>
        <v>9781799893011</v>
      </c>
      <c r="D74" t="str">
        <f>"9781799893028"</f>
        <v>9781799893028</v>
      </c>
      <c r="E74" t="s">
        <v>138</v>
      </c>
      <c r="F74" t="s">
        <v>1769</v>
      </c>
      <c r="G74" s="1">
        <v>44666</v>
      </c>
      <c r="H74" s="1">
        <v>44686</v>
      </c>
      <c r="K74" t="s">
        <v>1910</v>
      </c>
      <c r="L74" t="s">
        <v>28</v>
      </c>
      <c r="M74" t="s">
        <v>1911</v>
      </c>
      <c r="N74">
        <v>658.40800000000002</v>
      </c>
      <c r="O74" t="s">
        <v>1912</v>
      </c>
      <c r="P74" t="s">
        <v>18</v>
      </c>
    </row>
    <row r="75" spans="1:16" x14ac:dyDescent="0.35">
      <c r="A75">
        <v>6950281</v>
      </c>
      <c r="B75" t="s">
        <v>1913</v>
      </c>
      <c r="C75" t="str">
        <f>"9780323916035"</f>
        <v>9780323916035</v>
      </c>
      <c r="D75" t="str">
        <f>"9780323916042"</f>
        <v>9780323916042</v>
      </c>
      <c r="E75" t="s">
        <v>1699</v>
      </c>
      <c r="F75" t="s">
        <v>1699</v>
      </c>
      <c r="G75" s="1">
        <v>44665</v>
      </c>
      <c r="H75" s="1">
        <v>44661</v>
      </c>
      <c r="K75" t="s">
        <v>1914</v>
      </c>
      <c r="L75" t="s">
        <v>350</v>
      </c>
      <c r="M75" t="s">
        <v>1915</v>
      </c>
      <c r="N75">
        <v>577</v>
      </c>
      <c r="O75" t="s">
        <v>1916</v>
      </c>
      <c r="P75" t="s">
        <v>18</v>
      </c>
    </row>
    <row r="76" spans="1:16" x14ac:dyDescent="0.35">
      <c r="A76">
        <v>6944993</v>
      </c>
      <c r="B76" t="s">
        <v>1917</v>
      </c>
      <c r="C76" t="str">
        <f>"9781801175470"</f>
        <v>9781801175470</v>
      </c>
      <c r="D76" t="str">
        <f>"9781801175487"</f>
        <v>9781801175487</v>
      </c>
      <c r="E76" t="s">
        <v>187</v>
      </c>
      <c r="F76" t="s">
        <v>187</v>
      </c>
      <c r="G76" s="1">
        <v>44664</v>
      </c>
      <c r="H76" s="1">
        <v>44655</v>
      </c>
      <c r="K76" t="s">
        <v>1918</v>
      </c>
      <c r="L76" t="s">
        <v>69</v>
      </c>
      <c r="M76" t="s">
        <v>1919</v>
      </c>
      <c r="N76">
        <v>647.94000000000005</v>
      </c>
      <c r="O76" t="s">
        <v>189</v>
      </c>
      <c r="P76" t="s">
        <v>18</v>
      </c>
    </row>
    <row r="77" spans="1:16" x14ac:dyDescent="0.35">
      <c r="A77">
        <v>6950280</v>
      </c>
      <c r="B77" t="s">
        <v>1920</v>
      </c>
      <c r="C77" t="str">
        <f>"9780323988261"</f>
        <v>9780323988261</v>
      </c>
      <c r="D77" t="str">
        <f>"9780323986403"</f>
        <v>9780323986403</v>
      </c>
      <c r="E77" t="s">
        <v>190</v>
      </c>
      <c r="F77" t="s">
        <v>280</v>
      </c>
      <c r="G77" s="1">
        <v>44663</v>
      </c>
      <c r="H77" s="1">
        <v>44661</v>
      </c>
      <c r="J77" t="s">
        <v>487</v>
      </c>
      <c r="K77" t="s">
        <v>1921</v>
      </c>
      <c r="L77" t="s">
        <v>129</v>
      </c>
      <c r="M77" t="s">
        <v>1922</v>
      </c>
      <c r="N77">
        <v>624.17100000000005</v>
      </c>
      <c r="O77" t="s">
        <v>1923</v>
      </c>
      <c r="P77" t="s">
        <v>18</v>
      </c>
    </row>
    <row r="78" spans="1:16" x14ac:dyDescent="0.35">
      <c r="A78">
        <v>7018691</v>
      </c>
      <c r="B78" t="s">
        <v>1924</v>
      </c>
      <c r="C78" t="str">
        <f>"9781799892854"</f>
        <v>9781799892854</v>
      </c>
      <c r="D78" t="str">
        <f>"9781799892878"</f>
        <v>9781799892878</v>
      </c>
      <c r="E78" t="s">
        <v>138</v>
      </c>
      <c r="F78" t="s">
        <v>1769</v>
      </c>
      <c r="G78" s="1">
        <v>44659</v>
      </c>
      <c r="H78" s="1">
        <v>44730</v>
      </c>
      <c r="K78" t="s">
        <v>1925</v>
      </c>
      <c r="L78" t="s">
        <v>69</v>
      </c>
      <c r="M78" t="s">
        <v>1926</v>
      </c>
      <c r="N78">
        <v>647.94068000000004</v>
      </c>
      <c r="O78" t="s">
        <v>1927</v>
      </c>
      <c r="P78" t="s">
        <v>18</v>
      </c>
    </row>
    <row r="79" spans="1:16" x14ac:dyDescent="0.35">
      <c r="A79">
        <v>6947136</v>
      </c>
      <c r="B79" t="s">
        <v>1928</v>
      </c>
      <c r="C79" t="str">
        <f>"9780323900546"</f>
        <v>9780323900546</v>
      </c>
      <c r="D79" t="str">
        <f>"9780323903783"</f>
        <v>9780323903783</v>
      </c>
      <c r="E79" t="s">
        <v>190</v>
      </c>
      <c r="F79" t="s">
        <v>191</v>
      </c>
      <c r="G79" s="1">
        <v>44658</v>
      </c>
      <c r="H79" s="1">
        <v>44658</v>
      </c>
      <c r="K79" t="s">
        <v>1929</v>
      </c>
      <c r="L79" t="s">
        <v>112</v>
      </c>
      <c r="M79" t="s">
        <v>1930</v>
      </c>
      <c r="N79">
        <v>362.19624140000002</v>
      </c>
      <c r="O79" t="s">
        <v>1931</v>
      </c>
      <c r="P79" t="s">
        <v>18</v>
      </c>
    </row>
    <row r="80" spans="1:16" x14ac:dyDescent="0.35">
      <c r="A80">
        <v>6940464</v>
      </c>
      <c r="B80" t="s">
        <v>1932</v>
      </c>
      <c r="C80" t="str">
        <f>"9781803824567"</f>
        <v>9781803824567</v>
      </c>
      <c r="D80" t="str">
        <f>"9781803824550"</f>
        <v>9781803824550</v>
      </c>
      <c r="E80" t="s">
        <v>187</v>
      </c>
      <c r="F80" t="s">
        <v>187</v>
      </c>
      <c r="G80" s="1">
        <v>44656</v>
      </c>
      <c r="H80" s="1">
        <v>44649</v>
      </c>
      <c r="J80" t="s">
        <v>1678</v>
      </c>
      <c r="K80" t="s">
        <v>1933</v>
      </c>
      <c r="L80" t="s">
        <v>1934</v>
      </c>
      <c r="M80" t="s">
        <v>1935</v>
      </c>
      <c r="N80">
        <v>307.10000000000002</v>
      </c>
      <c r="O80" t="s">
        <v>1936</v>
      </c>
      <c r="P80" t="s">
        <v>18</v>
      </c>
    </row>
    <row r="81" spans="1:16" x14ac:dyDescent="0.35">
      <c r="A81">
        <v>6913274</v>
      </c>
      <c r="B81" t="s">
        <v>1937</v>
      </c>
      <c r="C81" t="str">
        <f>"9783035716757"</f>
        <v>9783035716757</v>
      </c>
      <c r="D81" t="str">
        <f>"9783035736755"</f>
        <v>9783035736755</v>
      </c>
      <c r="E81" t="s">
        <v>1649</v>
      </c>
      <c r="F81" t="s">
        <v>1649</v>
      </c>
      <c r="G81" s="1">
        <v>44655</v>
      </c>
      <c r="H81" s="1">
        <v>44625</v>
      </c>
      <c r="I81">
        <v>1</v>
      </c>
      <c r="J81" t="s">
        <v>1938</v>
      </c>
      <c r="K81" t="s">
        <v>1939</v>
      </c>
      <c r="L81" t="s">
        <v>307</v>
      </c>
      <c r="M81" t="s">
        <v>1940</v>
      </c>
      <c r="N81">
        <v>620.11500000000001</v>
      </c>
      <c r="O81" t="s">
        <v>1941</v>
      </c>
      <c r="P81" t="s">
        <v>18</v>
      </c>
    </row>
    <row r="82" spans="1:16" x14ac:dyDescent="0.35">
      <c r="A82">
        <v>6931088</v>
      </c>
      <c r="B82" t="s">
        <v>1942</v>
      </c>
      <c r="C82" t="str">
        <f>"9781802628807"</f>
        <v>9781802628807</v>
      </c>
      <c r="D82" t="str">
        <f>"9781802628814"</f>
        <v>9781802628814</v>
      </c>
      <c r="E82" t="s">
        <v>187</v>
      </c>
      <c r="F82" t="s">
        <v>187</v>
      </c>
      <c r="G82" s="1">
        <v>44648</v>
      </c>
      <c r="H82" s="1">
        <v>44641</v>
      </c>
      <c r="J82" t="s">
        <v>1943</v>
      </c>
      <c r="K82" t="s">
        <v>1944</v>
      </c>
      <c r="L82" t="s">
        <v>26</v>
      </c>
      <c r="M82" t="s">
        <v>1945</v>
      </c>
      <c r="N82">
        <v>338.92700000000002</v>
      </c>
      <c r="O82" t="s">
        <v>503</v>
      </c>
      <c r="P82" t="s">
        <v>18</v>
      </c>
    </row>
    <row r="83" spans="1:16" x14ac:dyDescent="0.35">
      <c r="A83">
        <v>6954603</v>
      </c>
      <c r="B83" t="s">
        <v>1946</v>
      </c>
      <c r="C83" t="str">
        <f>"9781799896487"</f>
        <v>9781799896487</v>
      </c>
      <c r="D83" t="str">
        <f>"9781799896517"</f>
        <v>9781799896517</v>
      </c>
      <c r="E83" t="s">
        <v>138</v>
      </c>
      <c r="F83" t="s">
        <v>1764</v>
      </c>
      <c r="G83" s="1">
        <v>44645</v>
      </c>
      <c r="H83" s="1">
        <v>44670</v>
      </c>
      <c r="K83" t="s">
        <v>1947</v>
      </c>
      <c r="L83" t="s">
        <v>41</v>
      </c>
      <c r="M83" t="s">
        <v>1948</v>
      </c>
      <c r="N83" t="s">
        <v>71</v>
      </c>
      <c r="O83" t="s">
        <v>1949</v>
      </c>
      <c r="P83" t="s">
        <v>18</v>
      </c>
    </row>
    <row r="84" spans="1:16" x14ac:dyDescent="0.35">
      <c r="A84">
        <v>6931041</v>
      </c>
      <c r="B84" t="s">
        <v>1950</v>
      </c>
      <c r="C84" t="str">
        <f>"9780323912280"</f>
        <v>9780323912280</v>
      </c>
      <c r="D84" t="str">
        <f>"9780323914284"</f>
        <v>9780323914284</v>
      </c>
      <c r="E84" t="s">
        <v>1699</v>
      </c>
      <c r="F84" t="s">
        <v>1699</v>
      </c>
      <c r="G84" s="1">
        <v>44641</v>
      </c>
      <c r="H84" s="1">
        <v>44640</v>
      </c>
      <c r="K84" t="s">
        <v>1951</v>
      </c>
      <c r="L84" t="s">
        <v>165</v>
      </c>
      <c r="M84" t="s">
        <v>1952</v>
      </c>
      <c r="N84">
        <v>621.04202856300003</v>
      </c>
      <c r="O84" t="s">
        <v>1953</v>
      </c>
      <c r="P84" t="s">
        <v>18</v>
      </c>
    </row>
    <row r="85" spans="1:16" x14ac:dyDescent="0.35">
      <c r="A85">
        <v>6938808</v>
      </c>
      <c r="B85" t="s">
        <v>1954</v>
      </c>
      <c r="C85" t="str">
        <f>"9781789246605"</f>
        <v>9781789246605</v>
      </c>
      <c r="D85" t="str">
        <f>"9781789246629"</f>
        <v>9781789246629</v>
      </c>
      <c r="E85" t="s">
        <v>333</v>
      </c>
      <c r="F85" t="s">
        <v>333</v>
      </c>
      <c r="G85" s="1">
        <v>44634</v>
      </c>
      <c r="H85" s="1">
        <v>44645</v>
      </c>
      <c r="K85" t="s">
        <v>1955</v>
      </c>
      <c r="L85" t="s">
        <v>194</v>
      </c>
      <c r="M85" t="s">
        <v>1956</v>
      </c>
      <c r="N85">
        <v>306.4819</v>
      </c>
      <c r="O85" t="s">
        <v>535</v>
      </c>
      <c r="P85" t="s">
        <v>18</v>
      </c>
    </row>
    <row r="86" spans="1:16" x14ac:dyDescent="0.35">
      <c r="A86">
        <v>6859386</v>
      </c>
      <c r="B86" t="s">
        <v>1957</v>
      </c>
      <c r="C86" t="str">
        <f>"9781799896647"</f>
        <v>9781799896647</v>
      </c>
      <c r="D86" t="str">
        <f>"9781799896661"</f>
        <v>9781799896661</v>
      </c>
      <c r="E86" t="s">
        <v>138</v>
      </c>
      <c r="F86" t="s">
        <v>1769</v>
      </c>
      <c r="G86" s="1">
        <v>44631</v>
      </c>
      <c r="H86" s="1">
        <v>44579</v>
      </c>
      <c r="K86" t="s">
        <v>1958</v>
      </c>
      <c r="L86" t="s">
        <v>41</v>
      </c>
      <c r="M86" t="s">
        <v>1959</v>
      </c>
      <c r="N86">
        <v>338.95907</v>
      </c>
      <c r="O86" t="s">
        <v>1960</v>
      </c>
      <c r="P86" t="s">
        <v>18</v>
      </c>
    </row>
    <row r="87" spans="1:16" x14ac:dyDescent="0.35">
      <c r="A87">
        <v>6896826</v>
      </c>
      <c r="B87" t="s">
        <v>1961</v>
      </c>
      <c r="C87" t="str">
        <f>"9781801176576"</f>
        <v>9781801176576</v>
      </c>
      <c r="D87" t="str">
        <f>"9781801176569"</f>
        <v>9781801176569</v>
      </c>
      <c r="E87" t="s">
        <v>187</v>
      </c>
      <c r="F87" t="s">
        <v>187</v>
      </c>
      <c r="G87" s="1">
        <v>44627</v>
      </c>
      <c r="H87" s="1">
        <v>44620</v>
      </c>
      <c r="K87" t="s">
        <v>1962</v>
      </c>
      <c r="L87" t="s">
        <v>192</v>
      </c>
      <c r="M87" t="s">
        <v>1963</v>
      </c>
      <c r="N87">
        <v>338.47910000000002</v>
      </c>
      <c r="O87" t="s">
        <v>1964</v>
      </c>
      <c r="P87" t="s">
        <v>18</v>
      </c>
    </row>
    <row r="88" spans="1:16" x14ac:dyDescent="0.35">
      <c r="A88">
        <v>1665625</v>
      </c>
      <c r="B88" t="s">
        <v>1965</v>
      </c>
      <c r="C88" t="str">
        <f>"9780124104235"</f>
        <v>9780124104235</v>
      </c>
      <c r="D88" t="str">
        <f>"9780124095953"</f>
        <v>9780124095953</v>
      </c>
      <c r="E88" t="s">
        <v>190</v>
      </c>
      <c r="F88" t="s">
        <v>191</v>
      </c>
      <c r="G88" s="1">
        <v>44624</v>
      </c>
      <c r="H88" s="1">
        <v>42341</v>
      </c>
      <c r="I88">
        <v>2</v>
      </c>
      <c r="K88" t="s">
        <v>1966</v>
      </c>
      <c r="L88" t="s">
        <v>1967</v>
      </c>
      <c r="M88" t="s">
        <v>1968</v>
      </c>
      <c r="N88" t="s">
        <v>1969</v>
      </c>
      <c r="O88" t="s">
        <v>481</v>
      </c>
      <c r="P88" t="s">
        <v>18</v>
      </c>
    </row>
    <row r="89" spans="1:16" x14ac:dyDescent="0.35">
      <c r="A89">
        <v>6892172</v>
      </c>
      <c r="B89" t="s">
        <v>1970</v>
      </c>
      <c r="C89" t="str">
        <f>"9781800715189"</f>
        <v>9781800715189</v>
      </c>
      <c r="D89" t="str">
        <f>"9781800715172"</f>
        <v>9781800715172</v>
      </c>
      <c r="E89" t="s">
        <v>187</v>
      </c>
      <c r="F89" t="s">
        <v>187</v>
      </c>
      <c r="G89" s="1">
        <v>44622</v>
      </c>
      <c r="H89" s="1">
        <v>44613</v>
      </c>
      <c r="J89" t="s">
        <v>1971</v>
      </c>
      <c r="K89" t="s">
        <v>1972</v>
      </c>
      <c r="L89" t="s">
        <v>26</v>
      </c>
      <c r="M89" t="s">
        <v>1973</v>
      </c>
      <c r="N89">
        <v>338.04095599999999</v>
      </c>
      <c r="O89" t="s">
        <v>1974</v>
      </c>
      <c r="P89" t="s">
        <v>18</v>
      </c>
    </row>
    <row r="90" spans="1:16" x14ac:dyDescent="0.35">
      <c r="A90">
        <v>6886817</v>
      </c>
      <c r="B90" t="s">
        <v>1975</v>
      </c>
      <c r="C90" t="str">
        <f>"9781527578159"</f>
        <v>9781527578159</v>
      </c>
      <c r="D90" t="str">
        <f>"9781527578869"</f>
        <v>9781527578869</v>
      </c>
      <c r="E90" t="s">
        <v>1662</v>
      </c>
      <c r="F90" t="s">
        <v>1662</v>
      </c>
      <c r="G90" s="1">
        <v>44621</v>
      </c>
      <c r="H90" s="1">
        <v>44604</v>
      </c>
      <c r="K90" t="s">
        <v>1976</v>
      </c>
      <c r="L90" t="s">
        <v>64</v>
      </c>
      <c r="M90" t="s">
        <v>1977</v>
      </c>
      <c r="N90">
        <v>338.47910000000002</v>
      </c>
      <c r="O90" t="s">
        <v>1978</v>
      </c>
      <c r="P90" t="s">
        <v>18</v>
      </c>
    </row>
    <row r="91" spans="1:16" x14ac:dyDescent="0.35">
      <c r="A91">
        <v>6887255</v>
      </c>
      <c r="B91" t="s">
        <v>1979</v>
      </c>
      <c r="C91" t="str">
        <f>"9781802624083"</f>
        <v>9781802624083</v>
      </c>
      <c r="D91" t="str">
        <f>"9781802624090"</f>
        <v>9781802624090</v>
      </c>
      <c r="E91" t="s">
        <v>187</v>
      </c>
      <c r="F91" t="s">
        <v>187</v>
      </c>
      <c r="G91" s="1">
        <v>44616</v>
      </c>
      <c r="H91" s="1">
        <v>44606</v>
      </c>
      <c r="K91" t="s">
        <v>1980</v>
      </c>
      <c r="L91" t="s">
        <v>1981</v>
      </c>
      <c r="M91" t="s">
        <v>1982</v>
      </c>
      <c r="N91">
        <v>624.06799999999998</v>
      </c>
      <c r="O91" t="s">
        <v>1983</v>
      </c>
      <c r="P91" t="s">
        <v>18</v>
      </c>
    </row>
    <row r="92" spans="1:16" x14ac:dyDescent="0.35">
      <c r="A92">
        <v>6882155</v>
      </c>
      <c r="B92" t="s">
        <v>1984</v>
      </c>
      <c r="C92" t="str">
        <f>""</f>
        <v/>
      </c>
      <c r="D92" t="str">
        <f>"9783110732757"</f>
        <v>9783110732757</v>
      </c>
      <c r="E92" t="s">
        <v>404</v>
      </c>
      <c r="F92" t="s">
        <v>404</v>
      </c>
      <c r="G92" s="1">
        <v>44613</v>
      </c>
      <c r="H92" s="1">
        <v>44600</v>
      </c>
      <c r="K92" t="s">
        <v>1985</v>
      </c>
      <c r="L92" t="s">
        <v>1986</v>
      </c>
      <c r="M92" t="s">
        <v>1987</v>
      </c>
      <c r="N92" t="s">
        <v>1988</v>
      </c>
      <c r="O92" t="s">
        <v>1989</v>
      </c>
      <c r="P92" t="s">
        <v>18</v>
      </c>
    </row>
    <row r="93" spans="1:16" x14ac:dyDescent="0.35">
      <c r="A93">
        <v>6799086</v>
      </c>
      <c r="B93" t="s">
        <v>1990</v>
      </c>
      <c r="C93" t="str">
        <f>"9783035715231"</f>
        <v>9783035715231</v>
      </c>
      <c r="D93" t="str">
        <f>"9783035735239"</f>
        <v>9783035735239</v>
      </c>
      <c r="E93" t="s">
        <v>1649</v>
      </c>
      <c r="F93" t="s">
        <v>1649</v>
      </c>
      <c r="G93" s="1">
        <v>44610</v>
      </c>
      <c r="H93" s="1">
        <v>44506</v>
      </c>
      <c r="I93">
        <v>1</v>
      </c>
      <c r="J93" t="s">
        <v>1938</v>
      </c>
      <c r="K93" t="s">
        <v>1991</v>
      </c>
      <c r="L93" t="s">
        <v>1992</v>
      </c>
      <c r="P93" t="s">
        <v>18</v>
      </c>
    </row>
    <row r="94" spans="1:16" x14ac:dyDescent="0.35">
      <c r="A94">
        <v>6874712</v>
      </c>
      <c r="B94" t="s">
        <v>1993</v>
      </c>
      <c r="C94" t="str">
        <f>"9781799892748"</f>
        <v>9781799892748</v>
      </c>
      <c r="D94" t="str">
        <f>"9781799892779"</f>
        <v>9781799892779</v>
      </c>
      <c r="E94" t="s">
        <v>138</v>
      </c>
      <c r="F94" t="s">
        <v>1764</v>
      </c>
      <c r="G94" s="1">
        <v>44610</v>
      </c>
      <c r="H94" s="1">
        <v>44590</v>
      </c>
      <c r="K94" t="s">
        <v>1994</v>
      </c>
      <c r="L94" t="s">
        <v>1995</v>
      </c>
      <c r="M94" t="s">
        <v>1996</v>
      </c>
      <c r="N94">
        <v>307.76028500000001</v>
      </c>
      <c r="O94" t="s">
        <v>1997</v>
      </c>
      <c r="P94" t="s">
        <v>18</v>
      </c>
    </row>
    <row r="95" spans="1:16" x14ac:dyDescent="0.35">
      <c r="A95">
        <v>6912948</v>
      </c>
      <c r="B95" t="s">
        <v>1998</v>
      </c>
      <c r="C95" t="str">
        <f>"9781668453520"</f>
        <v>9781668453520</v>
      </c>
      <c r="D95" t="str">
        <f>"9781668453544"</f>
        <v>9781668453544</v>
      </c>
      <c r="E95" t="s">
        <v>138</v>
      </c>
      <c r="F95" t="s">
        <v>1764</v>
      </c>
      <c r="G95" s="1">
        <v>44610</v>
      </c>
      <c r="H95" s="1">
        <v>44625</v>
      </c>
      <c r="K95" t="s">
        <v>1999</v>
      </c>
      <c r="L95" t="s">
        <v>379</v>
      </c>
      <c r="M95" t="s">
        <v>2000</v>
      </c>
      <c r="N95">
        <v>338.1</v>
      </c>
      <c r="O95" t="s">
        <v>2001</v>
      </c>
      <c r="P95" t="s">
        <v>18</v>
      </c>
    </row>
    <row r="96" spans="1:16" x14ac:dyDescent="0.35">
      <c r="A96">
        <v>6845770</v>
      </c>
      <c r="B96" t="s">
        <v>2002</v>
      </c>
      <c r="C96" t="str">
        <f>"9781799877240"</f>
        <v>9781799877240</v>
      </c>
      <c r="D96" t="str">
        <f>"9781799877264"</f>
        <v>9781799877264</v>
      </c>
      <c r="E96" t="s">
        <v>138</v>
      </c>
      <c r="F96" t="s">
        <v>1769</v>
      </c>
      <c r="G96" s="1">
        <v>44603</v>
      </c>
      <c r="H96" s="1">
        <v>44569</v>
      </c>
      <c r="K96" t="s">
        <v>2003</v>
      </c>
      <c r="L96" t="s">
        <v>28</v>
      </c>
      <c r="M96" t="s">
        <v>2004</v>
      </c>
      <c r="N96" t="s">
        <v>54</v>
      </c>
      <c r="O96" t="s">
        <v>2005</v>
      </c>
      <c r="P96" t="s">
        <v>18</v>
      </c>
    </row>
    <row r="97" spans="1:16" x14ac:dyDescent="0.35">
      <c r="A97">
        <v>6916418</v>
      </c>
      <c r="B97" t="s">
        <v>2006</v>
      </c>
      <c r="C97" t="str">
        <f>"9789815050189"</f>
        <v>9789815050189</v>
      </c>
      <c r="D97" t="str">
        <f>"9789815050172"</f>
        <v>9789815050172</v>
      </c>
      <c r="E97" t="s">
        <v>475</v>
      </c>
      <c r="F97" t="s">
        <v>475</v>
      </c>
      <c r="G97" s="1">
        <v>44601</v>
      </c>
      <c r="H97" s="1">
        <v>44631</v>
      </c>
      <c r="I97">
        <v>1</v>
      </c>
      <c r="K97" t="s">
        <v>2007</v>
      </c>
      <c r="L97" t="s">
        <v>39</v>
      </c>
      <c r="N97">
        <v>333.7</v>
      </c>
      <c r="O97" t="s">
        <v>2008</v>
      </c>
      <c r="P97" t="s">
        <v>18</v>
      </c>
    </row>
    <row r="98" spans="1:16" x14ac:dyDescent="0.35">
      <c r="A98">
        <v>6837049</v>
      </c>
      <c r="B98" t="s">
        <v>2009</v>
      </c>
      <c r="C98" t="str">
        <f>"9781527577237"</f>
        <v>9781527577237</v>
      </c>
      <c r="D98" t="str">
        <f>"9781527578579"</f>
        <v>9781527578579</v>
      </c>
      <c r="E98" t="s">
        <v>1662</v>
      </c>
      <c r="F98" t="s">
        <v>1662</v>
      </c>
      <c r="G98" s="1">
        <v>44593</v>
      </c>
      <c r="H98" s="1">
        <v>44555</v>
      </c>
      <c r="K98" t="s">
        <v>2010</v>
      </c>
      <c r="L98" t="s">
        <v>257</v>
      </c>
      <c r="M98" t="s">
        <v>2011</v>
      </c>
      <c r="N98">
        <v>304.20710000000003</v>
      </c>
      <c r="O98" t="s">
        <v>2012</v>
      </c>
      <c r="P98" t="s">
        <v>18</v>
      </c>
    </row>
    <row r="99" spans="1:16" x14ac:dyDescent="0.35">
      <c r="A99">
        <v>6810620</v>
      </c>
      <c r="B99" t="s">
        <v>2013</v>
      </c>
      <c r="C99" t="str">
        <f>""</f>
        <v/>
      </c>
      <c r="D99" t="str">
        <f>"9783035622553"</f>
        <v>9783035622553</v>
      </c>
      <c r="E99" t="s">
        <v>404</v>
      </c>
      <c r="F99" t="s">
        <v>2014</v>
      </c>
      <c r="G99" s="1">
        <v>44592</v>
      </c>
      <c r="H99" s="1">
        <v>44526</v>
      </c>
      <c r="K99" t="s">
        <v>2015</v>
      </c>
      <c r="L99" t="s">
        <v>2016</v>
      </c>
      <c r="M99" t="s">
        <v>2017</v>
      </c>
      <c r="N99">
        <v>720.47</v>
      </c>
      <c r="O99" t="s">
        <v>2018</v>
      </c>
      <c r="P99" t="s">
        <v>18</v>
      </c>
    </row>
    <row r="100" spans="1:16" x14ac:dyDescent="0.35">
      <c r="A100">
        <v>6837906</v>
      </c>
      <c r="B100" t="s">
        <v>2019</v>
      </c>
      <c r="C100" t="str">
        <f>"9781799888093"</f>
        <v>9781799888093</v>
      </c>
      <c r="D100" t="str">
        <f>"9781799888116"</f>
        <v>9781799888116</v>
      </c>
      <c r="E100" t="s">
        <v>138</v>
      </c>
      <c r="F100" t="s">
        <v>1764</v>
      </c>
      <c r="G100" s="1">
        <v>44589</v>
      </c>
      <c r="H100" s="1">
        <v>44561</v>
      </c>
      <c r="K100" t="s">
        <v>2020</v>
      </c>
      <c r="L100" t="s">
        <v>158</v>
      </c>
      <c r="M100" t="s">
        <v>2021</v>
      </c>
      <c r="N100">
        <v>333.91150959999999</v>
      </c>
      <c r="O100" t="s">
        <v>2022</v>
      </c>
      <c r="P100" t="s">
        <v>18</v>
      </c>
    </row>
    <row r="101" spans="1:16" x14ac:dyDescent="0.35">
      <c r="A101">
        <v>6857700</v>
      </c>
      <c r="B101" t="s">
        <v>2023</v>
      </c>
      <c r="C101" t="str">
        <f>"9781801178655"</f>
        <v>9781801178655</v>
      </c>
      <c r="D101" t="str">
        <f>"9781801178662"</f>
        <v>9781801178662</v>
      </c>
      <c r="E101" t="s">
        <v>187</v>
      </c>
      <c r="F101" t="s">
        <v>187</v>
      </c>
      <c r="G101" s="1">
        <v>44588</v>
      </c>
      <c r="H101" s="1">
        <v>44578</v>
      </c>
      <c r="K101" t="s">
        <v>2024</v>
      </c>
      <c r="L101" t="s">
        <v>26</v>
      </c>
      <c r="M101" t="s">
        <v>252</v>
      </c>
      <c r="N101">
        <v>338.92709729000001</v>
      </c>
      <c r="O101" t="s">
        <v>2025</v>
      </c>
      <c r="P101" t="s">
        <v>18</v>
      </c>
    </row>
    <row r="102" spans="1:16" x14ac:dyDescent="0.35">
      <c r="A102">
        <v>6857703</v>
      </c>
      <c r="B102" t="s">
        <v>2026</v>
      </c>
      <c r="C102" t="str">
        <f>"9781839829017"</f>
        <v>9781839829017</v>
      </c>
      <c r="D102" t="str">
        <f>"9781839829000"</f>
        <v>9781839829000</v>
      </c>
      <c r="E102" t="s">
        <v>187</v>
      </c>
      <c r="F102" t="s">
        <v>187</v>
      </c>
      <c r="G102" s="1">
        <v>44586</v>
      </c>
      <c r="H102" s="1">
        <v>44578</v>
      </c>
      <c r="K102" t="s">
        <v>2027</v>
      </c>
      <c r="L102" t="s">
        <v>400</v>
      </c>
      <c r="M102" t="s">
        <v>2028</v>
      </c>
      <c r="N102">
        <v>383.9</v>
      </c>
      <c r="O102" t="s">
        <v>2029</v>
      </c>
      <c r="P102" t="s">
        <v>18</v>
      </c>
    </row>
    <row r="103" spans="1:16" x14ac:dyDescent="0.35">
      <c r="A103">
        <v>6865567</v>
      </c>
      <c r="B103" t="s">
        <v>2030</v>
      </c>
      <c r="C103" t="str">
        <f>"9780323884419"</f>
        <v>9780323884419</v>
      </c>
      <c r="D103" t="str">
        <f>"9780323906586"</f>
        <v>9780323906586</v>
      </c>
      <c r="E103" t="s">
        <v>1699</v>
      </c>
      <c r="F103" t="s">
        <v>1699</v>
      </c>
      <c r="G103" s="1">
        <v>44585</v>
      </c>
      <c r="H103" s="1">
        <v>44582</v>
      </c>
      <c r="J103" t="s">
        <v>1737</v>
      </c>
      <c r="K103" t="s">
        <v>2031</v>
      </c>
      <c r="L103" t="s">
        <v>76</v>
      </c>
      <c r="M103" t="s">
        <v>2032</v>
      </c>
      <c r="N103">
        <v>660.02859999999998</v>
      </c>
      <c r="O103" t="s">
        <v>2033</v>
      </c>
      <c r="P103" t="s">
        <v>18</v>
      </c>
    </row>
    <row r="104" spans="1:16" x14ac:dyDescent="0.35">
      <c r="A104">
        <v>6961008</v>
      </c>
      <c r="B104" t="s">
        <v>2034</v>
      </c>
      <c r="C104" t="str">
        <f>""</f>
        <v/>
      </c>
      <c r="D104" t="str">
        <f>"9781803825885"</f>
        <v>9781803825885</v>
      </c>
      <c r="E104" t="s">
        <v>187</v>
      </c>
      <c r="F104" t="s">
        <v>187</v>
      </c>
      <c r="G104" s="1">
        <v>44582</v>
      </c>
      <c r="H104" s="1">
        <v>44674</v>
      </c>
      <c r="J104" t="s">
        <v>1872</v>
      </c>
      <c r="K104" t="s">
        <v>2035</v>
      </c>
      <c r="L104" t="s">
        <v>37</v>
      </c>
      <c r="M104" t="s">
        <v>2036</v>
      </c>
      <c r="N104">
        <v>230.0924</v>
      </c>
      <c r="O104" t="s">
        <v>2037</v>
      </c>
      <c r="P104" t="s">
        <v>18</v>
      </c>
    </row>
    <row r="105" spans="1:16" x14ac:dyDescent="0.35">
      <c r="A105">
        <v>6846163</v>
      </c>
      <c r="B105" t="s">
        <v>2038</v>
      </c>
      <c r="C105" t="str">
        <f>"9780128221129"</f>
        <v>9780128221129</v>
      </c>
      <c r="D105" t="str">
        <f>"9780128221105"</f>
        <v>9780128221105</v>
      </c>
      <c r="E105" t="s">
        <v>190</v>
      </c>
      <c r="F105" t="s">
        <v>191</v>
      </c>
      <c r="G105" s="1">
        <v>44581</v>
      </c>
      <c r="H105" s="1">
        <v>44571</v>
      </c>
      <c r="K105" t="s">
        <v>2039</v>
      </c>
      <c r="L105" t="s">
        <v>41</v>
      </c>
      <c r="M105" t="s">
        <v>2040</v>
      </c>
      <c r="N105">
        <v>338.19</v>
      </c>
      <c r="O105" t="s">
        <v>2041</v>
      </c>
      <c r="P105" t="s">
        <v>18</v>
      </c>
    </row>
    <row r="106" spans="1:16" x14ac:dyDescent="0.35">
      <c r="A106">
        <v>6836767</v>
      </c>
      <c r="B106" t="s">
        <v>2042</v>
      </c>
      <c r="C106" t="str">
        <f>"9781799877936"</f>
        <v>9781799877936</v>
      </c>
      <c r="D106" t="str">
        <f>"9781799877950"</f>
        <v>9781799877950</v>
      </c>
      <c r="E106" t="s">
        <v>138</v>
      </c>
      <c r="F106" t="s">
        <v>1769</v>
      </c>
      <c r="G106" s="1">
        <v>44575</v>
      </c>
      <c r="H106" s="1">
        <v>44554</v>
      </c>
      <c r="K106" t="s">
        <v>2043</v>
      </c>
      <c r="L106" t="s">
        <v>28</v>
      </c>
      <c r="M106" t="s">
        <v>2044</v>
      </c>
      <c r="N106">
        <v>658.40380000000005</v>
      </c>
      <c r="O106" t="s">
        <v>2045</v>
      </c>
      <c r="P106" t="s">
        <v>18</v>
      </c>
    </row>
    <row r="107" spans="1:16" x14ac:dyDescent="0.35">
      <c r="A107">
        <v>6837902</v>
      </c>
      <c r="B107" t="s">
        <v>2046</v>
      </c>
      <c r="C107" t="str">
        <f>"9781799889366"</f>
        <v>9781799889366</v>
      </c>
      <c r="D107" t="str">
        <f>"9781799889380"</f>
        <v>9781799889380</v>
      </c>
      <c r="E107" t="s">
        <v>138</v>
      </c>
      <c r="F107" t="s">
        <v>1764</v>
      </c>
      <c r="G107" s="1">
        <v>44575</v>
      </c>
      <c r="H107" s="1">
        <v>44561</v>
      </c>
      <c r="K107" t="s">
        <v>2047</v>
      </c>
      <c r="L107" t="s">
        <v>186</v>
      </c>
      <c r="M107" t="s">
        <v>2048</v>
      </c>
      <c r="N107" t="s">
        <v>381</v>
      </c>
      <c r="O107" t="s">
        <v>2049</v>
      </c>
      <c r="P107" t="s">
        <v>18</v>
      </c>
    </row>
    <row r="108" spans="1:16" x14ac:dyDescent="0.35">
      <c r="A108">
        <v>6824893</v>
      </c>
      <c r="B108" t="s">
        <v>2050</v>
      </c>
      <c r="C108" t="str">
        <f>"9781799883395"</f>
        <v>9781799883395</v>
      </c>
      <c r="D108" t="str">
        <f>"9781799883425"</f>
        <v>9781799883425</v>
      </c>
      <c r="E108" t="s">
        <v>138</v>
      </c>
      <c r="F108" t="s">
        <v>1789</v>
      </c>
      <c r="G108" s="1">
        <v>44568</v>
      </c>
      <c r="H108" s="1">
        <v>44541</v>
      </c>
      <c r="K108" t="s">
        <v>2051</v>
      </c>
      <c r="L108" t="s">
        <v>28</v>
      </c>
      <c r="M108" t="s">
        <v>2052</v>
      </c>
      <c r="N108" t="s">
        <v>2053</v>
      </c>
      <c r="O108" t="s">
        <v>2054</v>
      </c>
      <c r="P108" t="s">
        <v>18</v>
      </c>
    </row>
    <row r="109" spans="1:16" x14ac:dyDescent="0.35">
      <c r="A109">
        <v>6824897</v>
      </c>
      <c r="B109" t="s">
        <v>2055</v>
      </c>
      <c r="C109" t="str">
        <f>"9781668425237"</f>
        <v>9781668425237</v>
      </c>
      <c r="D109" t="str">
        <f>"9781668425251"</f>
        <v>9781668425251</v>
      </c>
      <c r="E109" t="s">
        <v>138</v>
      </c>
      <c r="F109" t="s">
        <v>1769</v>
      </c>
      <c r="G109" s="1">
        <v>44568</v>
      </c>
      <c r="H109" s="1">
        <v>44541</v>
      </c>
      <c r="K109" t="s">
        <v>1778</v>
      </c>
      <c r="L109" t="s">
        <v>26</v>
      </c>
      <c r="M109" t="s">
        <v>1911</v>
      </c>
      <c r="N109" t="s">
        <v>247</v>
      </c>
      <c r="O109" t="s">
        <v>2056</v>
      </c>
      <c r="P109" t="s">
        <v>18</v>
      </c>
    </row>
    <row r="110" spans="1:16" x14ac:dyDescent="0.35">
      <c r="A110">
        <v>6836759</v>
      </c>
      <c r="B110" t="s">
        <v>2057</v>
      </c>
      <c r="C110" t="str">
        <f>"9781799873969"</f>
        <v>9781799873969</v>
      </c>
      <c r="D110" t="str">
        <f>"9781799873990"</f>
        <v>9781799873990</v>
      </c>
      <c r="E110" t="s">
        <v>138</v>
      </c>
      <c r="F110" t="s">
        <v>1769</v>
      </c>
      <c r="G110" s="1">
        <v>44568</v>
      </c>
      <c r="H110" s="1">
        <v>44554</v>
      </c>
      <c r="K110" t="s">
        <v>2058</v>
      </c>
      <c r="L110" t="s">
        <v>28</v>
      </c>
      <c r="M110" t="s">
        <v>2059</v>
      </c>
      <c r="N110">
        <v>658.38199999999995</v>
      </c>
      <c r="O110" t="s">
        <v>2060</v>
      </c>
      <c r="P110" t="s">
        <v>18</v>
      </c>
    </row>
    <row r="111" spans="1:16" x14ac:dyDescent="0.35">
      <c r="A111">
        <v>6874713</v>
      </c>
      <c r="B111" t="s">
        <v>2061</v>
      </c>
      <c r="C111" t="str">
        <f>"9781668445037"</f>
        <v>9781668445037</v>
      </c>
      <c r="D111" t="str">
        <f>"9781668445044"</f>
        <v>9781668445044</v>
      </c>
      <c r="E111" t="s">
        <v>138</v>
      </c>
      <c r="F111" t="s">
        <v>1769</v>
      </c>
      <c r="G111" s="1">
        <v>44568</v>
      </c>
      <c r="H111" s="1">
        <v>44590</v>
      </c>
      <c r="K111" t="s">
        <v>1999</v>
      </c>
      <c r="L111" t="s">
        <v>28</v>
      </c>
      <c r="M111" t="s">
        <v>2062</v>
      </c>
      <c r="N111">
        <v>658.40560000000005</v>
      </c>
      <c r="O111" t="s">
        <v>2063</v>
      </c>
      <c r="P111" t="s">
        <v>18</v>
      </c>
    </row>
    <row r="112" spans="1:16" x14ac:dyDescent="0.35">
      <c r="A112">
        <v>6939910</v>
      </c>
      <c r="B112" t="s">
        <v>2064</v>
      </c>
      <c r="C112" t="str">
        <f>"9781666902563"</f>
        <v>9781666902563</v>
      </c>
      <c r="D112" t="str">
        <f>"9781666902570"</f>
        <v>9781666902570</v>
      </c>
      <c r="E112" t="s">
        <v>445</v>
      </c>
      <c r="F112" t="s">
        <v>445</v>
      </c>
      <c r="G112" s="1">
        <v>44565</v>
      </c>
      <c r="H112" s="1">
        <v>44647</v>
      </c>
      <c r="K112" t="s">
        <v>2065</v>
      </c>
      <c r="L112" t="s">
        <v>26</v>
      </c>
      <c r="M112" t="s">
        <v>2066</v>
      </c>
      <c r="N112">
        <v>336.34</v>
      </c>
      <c r="O112" t="s">
        <v>2067</v>
      </c>
      <c r="P112" t="s">
        <v>18</v>
      </c>
    </row>
    <row r="113" spans="1:16" x14ac:dyDescent="0.35">
      <c r="A113">
        <v>6789509</v>
      </c>
      <c r="B113" t="s">
        <v>2068</v>
      </c>
      <c r="C113" t="str">
        <f>"9781668438855"</f>
        <v>9781668438855</v>
      </c>
      <c r="D113" t="str">
        <f>"9781668438862"</f>
        <v>9781668438862</v>
      </c>
      <c r="E113" t="s">
        <v>138</v>
      </c>
      <c r="F113" t="s">
        <v>1764</v>
      </c>
      <c r="G113" s="1">
        <v>44560</v>
      </c>
      <c r="H113" s="1">
        <v>44610</v>
      </c>
      <c r="K113" t="s">
        <v>1999</v>
      </c>
      <c r="L113" t="s">
        <v>41</v>
      </c>
      <c r="M113" t="s">
        <v>2069</v>
      </c>
      <c r="N113">
        <v>338.92700000000002</v>
      </c>
      <c r="O113" t="s">
        <v>2070</v>
      </c>
      <c r="P113" t="s">
        <v>18</v>
      </c>
    </row>
    <row r="114" spans="1:16" x14ac:dyDescent="0.35">
      <c r="A114">
        <v>6889655</v>
      </c>
      <c r="B114" t="s">
        <v>2071</v>
      </c>
      <c r="C114" t="str">
        <f>"9781799887867"</f>
        <v>9781799887867</v>
      </c>
      <c r="D114" t="str">
        <f>"9781799887898"</f>
        <v>9781799887898</v>
      </c>
      <c r="E114" t="s">
        <v>138</v>
      </c>
      <c r="F114" t="s">
        <v>1764</v>
      </c>
      <c r="G114" s="1">
        <v>44554</v>
      </c>
      <c r="H114" s="1">
        <v>44609</v>
      </c>
      <c r="K114" t="s">
        <v>2072</v>
      </c>
      <c r="L114" t="s">
        <v>124</v>
      </c>
      <c r="M114" t="s">
        <v>2073</v>
      </c>
      <c r="N114">
        <v>610.28499999999997</v>
      </c>
      <c r="O114" t="s">
        <v>2074</v>
      </c>
      <c r="P114" t="s">
        <v>18</v>
      </c>
    </row>
    <row r="115" spans="1:16" x14ac:dyDescent="0.35">
      <c r="A115">
        <v>6821497</v>
      </c>
      <c r="B115" t="s">
        <v>2075</v>
      </c>
      <c r="C115" t="str">
        <f>"9780128202265"</f>
        <v>9780128202265</v>
      </c>
      <c r="D115" t="str">
        <f>"9780128202272"</f>
        <v>9780128202272</v>
      </c>
      <c r="E115" t="s">
        <v>190</v>
      </c>
      <c r="F115" t="s">
        <v>280</v>
      </c>
      <c r="G115" s="1">
        <v>44547</v>
      </c>
      <c r="H115" s="1">
        <v>44534</v>
      </c>
      <c r="I115">
        <v>2</v>
      </c>
      <c r="J115" t="s">
        <v>494</v>
      </c>
      <c r="K115" t="s">
        <v>2076</v>
      </c>
      <c r="L115" t="s">
        <v>144</v>
      </c>
      <c r="M115" t="s">
        <v>2077</v>
      </c>
      <c r="N115">
        <v>574.91999999999996</v>
      </c>
      <c r="O115" t="s">
        <v>2078</v>
      </c>
      <c r="P115" t="s">
        <v>18</v>
      </c>
    </row>
    <row r="116" spans="1:16" x14ac:dyDescent="0.35">
      <c r="A116">
        <v>6827836</v>
      </c>
      <c r="B116" t="s">
        <v>2079</v>
      </c>
      <c r="C116" t="str">
        <f>"9781800373082"</f>
        <v>9781800373082</v>
      </c>
      <c r="D116" t="str">
        <f>"9781800373099"</f>
        <v>9781800373099</v>
      </c>
      <c r="E116" t="s">
        <v>2080</v>
      </c>
      <c r="F116" t="s">
        <v>2080</v>
      </c>
      <c r="G116" s="1">
        <v>44547</v>
      </c>
      <c r="H116" s="1">
        <v>44547</v>
      </c>
      <c r="J116" t="s">
        <v>2081</v>
      </c>
      <c r="K116" t="s">
        <v>2082</v>
      </c>
      <c r="L116" t="s">
        <v>41</v>
      </c>
      <c r="M116" t="s">
        <v>2083</v>
      </c>
      <c r="N116">
        <v>338.92700000000002</v>
      </c>
      <c r="O116" t="s">
        <v>2084</v>
      </c>
      <c r="P116" t="s">
        <v>18</v>
      </c>
    </row>
    <row r="117" spans="1:16" x14ac:dyDescent="0.35">
      <c r="A117">
        <v>6870882</v>
      </c>
      <c r="B117" t="s">
        <v>2085</v>
      </c>
      <c r="C117" t="str">
        <f>""</f>
        <v/>
      </c>
      <c r="D117" t="str">
        <f>"9781803822600"</f>
        <v>9781803822600</v>
      </c>
      <c r="E117" t="s">
        <v>187</v>
      </c>
      <c r="F117" t="s">
        <v>187</v>
      </c>
      <c r="G117" s="1">
        <v>44545</v>
      </c>
      <c r="H117" s="1">
        <v>44587</v>
      </c>
      <c r="J117" t="s">
        <v>2086</v>
      </c>
      <c r="K117" t="s">
        <v>2087</v>
      </c>
      <c r="L117" t="s">
        <v>179</v>
      </c>
      <c r="M117" t="s">
        <v>2088</v>
      </c>
      <c r="N117">
        <v>621.89</v>
      </c>
      <c r="O117" t="s">
        <v>2089</v>
      </c>
      <c r="P117" t="s">
        <v>18</v>
      </c>
    </row>
    <row r="118" spans="1:16" x14ac:dyDescent="0.35">
      <c r="A118">
        <v>6821533</v>
      </c>
      <c r="B118" t="s">
        <v>2090</v>
      </c>
      <c r="C118" t="str">
        <f>"9781799874997"</f>
        <v>9781799874997</v>
      </c>
      <c r="D118" t="str">
        <f>"9781799875017"</f>
        <v>9781799875017</v>
      </c>
      <c r="E118" t="s">
        <v>138</v>
      </c>
      <c r="F118" t="s">
        <v>1769</v>
      </c>
      <c r="G118" s="1">
        <v>44540</v>
      </c>
      <c r="H118" s="1">
        <v>44534</v>
      </c>
      <c r="K118" t="s">
        <v>2091</v>
      </c>
      <c r="L118" t="s">
        <v>26</v>
      </c>
      <c r="M118" t="s">
        <v>2092</v>
      </c>
      <c r="N118">
        <v>332</v>
      </c>
      <c r="O118" t="s">
        <v>352</v>
      </c>
      <c r="P118" t="s">
        <v>18</v>
      </c>
    </row>
    <row r="119" spans="1:16" x14ac:dyDescent="0.35">
      <c r="A119">
        <v>6827825</v>
      </c>
      <c r="B119" t="s">
        <v>2093</v>
      </c>
      <c r="C119" t="str">
        <f>"9781789908763"</f>
        <v>9781789908763</v>
      </c>
      <c r="D119" t="str">
        <f>"9781789908770"</f>
        <v>9781789908770</v>
      </c>
      <c r="E119" t="s">
        <v>2080</v>
      </c>
      <c r="F119" t="s">
        <v>2080</v>
      </c>
      <c r="G119" s="1">
        <v>44540</v>
      </c>
      <c r="H119" s="1">
        <v>44547</v>
      </c>
      <c r="J119" t="s">
        <v>2094</v>
      </c>
      <c r="K119" t="s">
        <v>2095</v>
      </c>
      <c r="L119" t="s">
        <v>92</v>
      </c>
      <c r="M119" t="s">
        <v>2096</v>
      </c>
      <c r="N119">
        <v>333.7</v>
      </c>
      <c r="O119" t="s">
        <v>2097</v>
      </c>
      <c r="P119" t="s">
        <v>18</v>
      </c>
    </row>
    <row r="120" spans="1:16" x14ac:dyDescent="0.35">
      <c r="A120">
        <v>6821841</v>
      </c>
      <c r="B120" t="s">
        <v>2098</v>
      </c>
      <c r="C120" t="str">
        <f>"9780323910019"</f>
        <v>9780323910019</v>
      </c>
      <c r="D120" t="str">
        <f>"9780323910026"</f>
        <v>9780323910026</v>
      </c>
      <c r="E120" t="s">
        <v>190</v>
      </c>
      <c r="F120" t="s">
        <v>191</v>
      </c>
      <c r="G120" s="1">
        <v>44538</v>
      </c>
      <c r="H120" s="1">
        <v>44536</v>
      </c>
      <c r="K120" t="s">
        <v>2099</v>
      </c>
      <c r="L120" t="s">
        <v>26</v>
      </c>
      <c r="M120" t="s">
        <v>2100</v>
      </c>
      <c r="N120">
        <v>338.19</v>
      </c>
      <c r="O120" t="s">
        <v>2101</v>
      </c>
      <c r="P120" t="s">
        <v>18</v>
      </c>
    </row>
    <row r="121" spans="1:16" x14ac:dyDescent="0.35">
      <c r="A121">
        <v>6821849</v>
      </c>
      <c r="B121" t="s">
        <v>2102</v>
      </c>
      <c r="C121" t="str">
        <f>"9780128245453"</f>
        <v>9780128245453</v>
      </c>
      <c r="D121" t="str">
        <f>"9780128245460"</f>
        <v>9780128245460</v>
      </c>
      <c r="E121" t="s">
        <v>1699</v>
      </c>
      <c r="F121" t="s">
        <v>1699</v>
      </c>
      <c r="G121" s="1">
        <v>44538</v>
      </c>
      <c r="H121" s="1">
        <v>44536</v>
      </c>
      <c r="K121" t="s">
        <v>2103</v>
      </c>
      <c r="L121" t="s">
        <v>2104</v>
      </c>
      <c r="M121" t="s">
        <v>2105</v>
      </c>
      <c r="N121">
        <v>541.37199999999996</v>
      </c>
      <c r="O121" t="s">
        <v>1543</v>
      </c>
      <c r="P121" t="s">
        <v>18</v>
      </c>
    </row>
    <row r="122" spans="1:16" x14ac:dyDescent="0.35">
      <c r="A122">
        <v>6821794</v>
      </c>
      <c r="B122" t="s">
        <v>2106</v>
      </c>
      <c r="C122" t="str">
        <f>"9780128239988"</f>
        <v>9780128239988</v>
      </c>
      <c r="D122" t="str">
        <f>"9780128239995"</f>
        <v>9780128239995</v>
      </c>
      <c r="E122" t="s">
        <v>1699</v>
      </c>
      <c r="F122" t="s">
        <v>1699</v>
      </c>
      <c r="G122" s="1">
        <v>44537</v>
      </c>
      <c r="H122" s="1">
        <v>44535</v>
      </c>
      <c r="K122" t="s">
        <v>2107</v>
      </c>
      <c r="L122" t="s">
        <v>2108</v>
      </c>
      <c r="M122" t="s">
        <v>2109</v>
      </c>
      <c r="N122">
        <v>622.15</v>
      </c>
      <c r="O122" t="s">
        <v>2110</v>
      </c>
      <c r="P122" t="s">
        <v>18</v>
      </c>
    </row>
    <row r="123" spans="1:16" x14ac:dyDescent="0.35">
      <c r="A123">
        <v>6827819</v>
      </c>
      <c r="B123" t="s">
        <v>2111</v>
      </c>
      <c r="C123" t="str">
        <f>"9781789908343"</f>
        <v>9781789908343</v>
      </c>
      <c r="D123" t="str">
        <f>"9781789908350"</f>
        <v>9781789908350</v>
      </c>
      <c r="E123" t="s">
        <v>2080</v>
      </c>
      <c r="F123" t="s">
        <v>2080</v>
      </c>
      <c r="G123" s="1">
        <v>44537</v>
      </c>
      <c r="H123" s="1">
        <v>44547</v>
      </c>
      <c r="K123" t="s">
        <v>2112</v>
      </c>
      <c r="L123" t="s">
        <v>28</v>
      </c>
      <c r="M123" t="s">
        <v>2113</v>
      </c>
      <c r="N123">
        <v>658.40830000000005</v>
      </c>
      <c r="O123" t="s">
        <v>2114</v>
      </c>
      <c r="P123" t="s">
        <v>18</v>
      </c>
    </row>
    <row r="124" spans="1:16" x14ac:dyDescent="0.35">
      <c r="A124">
        <v>6827849</v>
      </c>
      <c r="B124" t="s">
        <v>2115</v>
      </c>
      <c r="C124" t="str">
        <f>"9781788977463"</f>
        <v>9781788977463</v>
      </c>
      <c r="D124" t="str">
        <f>"9781788977470"</f>
        <v>9781788977470</v>
      </c>
      <c r="E124" t="s">
        <v>2080</v>
      </c>
      <c r="F124" t="s">
        <v>2080</v>
      </c>
      <c r="G124" s="1">
        <v>44537</v>
      </c>
      <c r="H124" s="1">
        <v>44547</v>
      </c>
      <c r="J124" t="s">
        <v>2116</v>
      </c>
      <c r="K124" t="s">
        <v>2117</v>
      </c>
      <c r="L124" t="s">
        <v>26</v>
      </c>
      <c r="M124" t="s">
        <v>2118</v>
      </c>
      <c r="N124">
        <v>338.95100000000002</v>
      </c>
      <c r="O124" t="s">
        <v>2119</v>
      </c>
      <c r="P124" t="s">
        <v>18</v>
      </c>
    </row>
    <row r="125" spans="1:16" x14ac:dyDescent="0.35">
      <c r="A125">
        <v>6810537</v>
      </c>
      <c r="B125" t="s">
        <v>2120</v>
      </c>
      <c r="C125" t="str">
        <f>""</f>
        <v/>
      </c>
      <c r="D125" t="str">
        <f>"9783110670219"</f>
        <v>9783110670219</v>
      </c>
      <c r="E125" t="s">
        <v>404</v>
      </c>
      <c r="F125" t="s">
        <v>404</v>
      </c>
      <c r="G125" s="1">
        <v>44536</v>
      </c>
      <c r="H125" s="1">
        <v>44526</v>
      </c>
      <c r="J125" t="s">
        <v>2121</v>
      </c>
      <c r="K125" t="s">
        <v>2122</v>
      </c>
      <c r="L125" t="s">
        <v>30</v>
      </c>
      <c r="M125" t="s">
        <v>2123</v>
      </c>
      <c r="N125">
        <v>378.1035</v>
      </c>
      <c r="O125" t="s">
        <v>2124</v>
      </c>
      <c r="P125" t="s">
        <v>18</v>
      </c>
    </row>
    <row r="126" spans="1:16" x14ac:dyDescent="0.35">
      <c r="A126">
        <v>6818685</v>
      </c>
      <c r="B126" t="s">
        <v>2125</v>
      </c>
      <c r="C126" t="str">
        <f>"9780128244104"</f>
        <v>9780128244104</v>
      </c>
      <c r="D126" t="str">
        <f>"9780323860093"</f>
        <v>9780323860093</v>
      </c>
      <c r="E126" t="s">
        <v>190</v>
      </c>
      <c r="F126" t="s">
        <v>191</v>
      </c>
      <c r="G126" s="1">
        <v>44536</v>
      </c>
      <c r="H126" s="1">
        <v>44530</v>
      </c>
      <c r="J126" t="s">
        <v>2126</v>
      </c>
      <c r="K126" t="s">
        <v>2127</v>
      </c>
      <c r="L126" t="s">
        <v>141</v>
      </c>
      <c r="M126" t="s">
        <v>2128</v>
      </c>
      <c r="N126">
        <v>621.38220000000001</v>
      </c>
      <c r="O126" t="s">
        <v>2129</v>
      </c>
      <c r="P126" t="s">
        <v>18</v>
      </c>
    </row>
    <row r="127" spans="1:16" x14ac:dyDescent="0.35">
      <c r="A127">
        <v>6819969</v>
      </c>
      <c r="B127" t="s">
        <v>2130</v>
      </c>
      <c r="C127" t="str">
        <f>"9780128170366"</f>
        <v>9780128170366</v>
      </c>
      <c r="D127" t="str">
        <f>"9780128170373"</f>
        <v>9780128170373</v>
      </c>
      <c r="E127" t="s">
        <v>190</v>
      </c>
      <c r="F127" t="s">
        <v>191</v>
      </c>
      <c r="G127" s="1">
        <v>44536</v>
      </c>
      <c r="H127" s="1">
        <v>44532</v>
      </c>
      <c r="K127" t="s">
        <v>2131</v>
      </c>
      <c r="L127" t="s">
        <v>229</v>
      </c>
      <c r="M127" t="s">
        <v>2132</v>
      </c>
      <c r="N127">
        <v>338.1</v>
      </c>
      <c r="O127" t="s">
        <v>2133</v>
      </c>
      <c r="P127" t="s">
        <v>18</v>
      </c>
    </row>
    <row r="128" spans="1:16" x14ac:dyDescent="0.35">
      <c r="A128">
        <v>6820493</v>
      </c>
      <c r="B128" t="s">
        <v>2134</v>
      </c>
      <c r="C128" t="str">
        <f>"9780128217306"</f>
        <v>9780128217306</v>
      </c>
      <c r="D128" t="str">
        <f>"9780128230138"</f>
        <v>9780128230138</v>
      </c>
      <c r="E128" t="s">
        <v>190</v>
      </c>
      <c r="F128" t="s">
        <v>280</v>
      </c>
      <c r="G128" s="1">
        <v>44536</v>
      </c>
      <c r="H128" s="1">
        <v>44533</v>
      </c>
      <c r="J128" t="s">
        <v>487</v>
      </c>
      <c r="K128" t="s">
        <v>2135</v>
      </c>
      <c r="L128" t="s">
        <v>104</v>
      </c>
      <c r="M128" t="s">
        <v>2136</v>
      </c>
      <c r="N128">
        <v>628.4</v>
      </c>
      <c r="O128" t="s">
        <v>2137</v>
      </c>
      <c r="P128" t="s">
        <v>18</v>
      </c>
    </row>
    <row r="129" spans="1:16" x14ac:dyDescent="0.35">
      <c r="A129">
        <v>6821845</v>
      </c>
      <c r="B129" t="s">
        <v>2138</v>
      </c>
      <c r="C129" t="str">
        <f>"9780128200537"</f>
        <v>9780128200537</v>
      </c>
      <c r="D129" t="str">
        <f>"9780128204160"</f>
        <v>9780128204160</v>
      </c>
      <c r="E129" t="s">
        <v>190</v>
      </c>
      <c r="F129" t="s">
        <v>2139</v>
      </c>
      <c r="G129" s="1">
        <v>44536</v>
      </c>
      <c r="H129" s="1">
        <v>44536</v>
      </c>
      <c r="J129" t="s">
        <v>2140</v>
      </c>
      <c r="K129" t="s">
        <v>2141</v>
      </c>
      <c r="L129" t="s">
        <v>2142</v>
      </c>
      <c r="M129" t="s">
        <v>2143</v>
      </c>
      <c r="N129">
        <v>622.33820000000003</v>
      </c>
      <c r="O129" t="s">
        <v>2144</v>
      </c>
      <c r="P129" t="s">
        <v>18</v>
      </c>
    </row>
    <row r="130" spans="1:16" x14ac:dyDescent="0.35">
      <c r="A130">
        <v>6812054</v>
      </c>
      <c r="B130" t="s">
        <v>2145</v>
      </c>
      <c r="C130" t="str">
        <f>"9781799867258"</f>
        <v>9781799867258</v>
      </c>
      <c r="D130" t="str">
        <f>"9781799867272"</f>
        <v>9781799867272</v>
      </c>
      <c r="E130" t="s">
        <v>138</v>
      </c>
      <c r="F130" t="s">
        <v>1789</v>
      </c>
      <c r="G130" s="1">
        <v>44533</v>
      </c>
      <c r="H130" s="1">
        <v>44527</v>
      </c>
      <c r="K130" t="s">
        <v>2146</v>
      </c>
      <c r="L130" t="s">
        <v>38</v>
      </c>
      <c r="M130" t="s">
        <v>2147</v>
      </c>
      <c r="N130">
        <v>307.14159999999998</v>
      </c>
      <c r="O130" t="s">
        <v>2148</v>
      </c>
      <c r="P130" t="s">
        <v>18</v>
      </c>
    </row>
    <row r="131" spans="1:16" x14ac:dyDescent="0.35">
      <c r="A131">
        <v>6821505</v>
      </c>
      <c r="B131" t="s">
        <v>2149</v>
      </c>
      <c r="C131" t="str">
        <f>"9780128230190"</f>
        <v>9780128230190</v>
      </c>
      <c r="D131" t="str">
        <f>"9780128230510"</f>
        <v>9780128230510</v>
      </c>
      <c r="E131" t="s">
        <v>190</v>
      </c>
      <c r="F131" t="s">
        <v>191</v>
      </c>
      <c r="G131" s="1">
        <v>44533</v>
      </c>
      <c r="H131" s="1">
        <v>44534</v>
      </c>
      <c r="K131" t="s">
        <v>2150</v>
      </c>
      <c r="L131" t="s">
        <v>168</v>
      </c>
      <c r="M131" t="s">
        <v>2151</v>
      </c>
      <c r="N131">
        <v>636</v>
      </c>
      <c r="O131" t="s">
        <v>2152</v>
      </c>
      <c r="P131" t="s">
        <v>18</v>
      </c>
    </row>
    <row r="132" spans="1:16" x14ac:dyDescent="0.35">
      <c r="A132">
        <v>6739075</v>
      </c>
      <c r="B132" t="s">
        <v>2153</v>
      </c>
      <c r="C132" t="str">
        <f>"9781642831351"</f>
        <v>9781642831351</v>
      </c>
      <c r="D132" t="str">
        <f>"9781642831368"</f>
        <v>9781642831368</v>
      </c>
      <c r="E132" t="s">
        <v>2154</v>
      </c>
      <c r="F132" t="s">
        <v>2154</v>
      </c>
      <c r="G132" s="1">
        <v>44532</v>
      </c>
      <c r="H132" s="1">
        <v>44472</v>
      </c>
      <c r="I132">
        <v>1</v>
      </c>
      <c r="K132" t="s">
        <v>2155</v>
      </c>
      <c r="L132" t="s">
        <v>283</v>
      </c>
      <c r="M132" t="s">
        <v>2156</v>
      </c>
      <c r="N132" t="s">
        <v>2157</v>
      </c>
      <c r="O132" t="s">
        <v>2158</v>
      </c>
      <c r="P132" t="s">
        <v>18</v>
      </c>
    </row>
    <row r="133" spans="1:16" x14ac:dyDescent="0.35">
      <c r="A133">
        <v>6783566</v>
      </c>
      <c r="B133" t="s">
        <v>2159</v>
      </c>
      <c r="C133" t="str">
        <f>"9781527575035"</f>
        <v>9781527575035</v>
      </c>
      <c r="D133" t="str">
        <f>"9781527575714"</f>
        <v>9781527575714</v>
      </c>
      <c r="E133" t="s">
        <v>1662</v>
      </c>
      <c r="F133" t="s">
        <v>1662</v>
      </c>
      <c r="G133" s="1">
        <v>44531</v>
      </c>
      <c r="H133" s="1">
        <v>44485</v>
      </c>
      <c r="K133" t="s">
        <v>2160</v>
      </c>
      <c r="L133" t="s">
        <v>23</v>
      </c>
      <c r="M133" t="s">
        <v>2161</v>
      </c>
      <c r="N133">
        <v>344.04599999999999</v>
      </c>
      <c r="O133" t="s">
        <v>2162</v>
      </c>
      <c r="P133" t="s">
        <v>18</v>
      </c>
    </row>
    <row r="134" spans="1:16" x14ac:dyDescent="0.35">
      <c r="A134">
        <v>6817940</v>
      </c>
      <c r="B134" t="s">
        <v>2163</v>
      </c>
      <c r="C134" t="str">
        <f>"9780323902687"</f>
        <v>9780323902687</v>
      </c>
      <c r="D134" t="str">
        <f>"9780323902694"</f>
        <v>9780323902694</v>
      </c>
      <c r="E134" t="s">
        <v>1699</v>
      </c>
      <c r="F134" t="s">
        <v>1699</v>
      </c>
      <c r="G134" s="1">
        <v>44531</v>
      </c>
      <c r="H134" s="1">
        <v>44529</v>
      </c>
      <c r="K134" t="s">
        <v>2164</v>
      </c>
      <c r="L134" t="s">
        <v>26</v>
      </c>
      <c r="M134" t="s">
        <v>2165</v>
      </c>
      <c r="N134">
        <v>338.92700000000002</v>
      </c>
      <c r="O134" t="s">
        <v>2166</v>
      </c>
      <c r="P134" t="s">
        <v>18</v>
      </c>
    </row>
    <row r="135" spans="1:16" x14ac:dyDescent="0.35">
      <c r="A135">
        <v>6644896</v>
      </c>
      <c r="B135" t="s">
        <v>2167</v>
      </c>
      <c r="C135" t="str">
        <f>"9781350136335"</f>
        <v>9781350136335</v>
      </c>
      <c r="D135" t="str">
        <f>"9781350136359"</f>
        <v>9781350136359</v>
      </c>
      <c r="E135" t="s">
        <v>539</v>
      </c>
      <c r="F135" t="s">
        <v>540</v>
      </c>
      <c r="G135" s="1">
        <v>44530</v>
      </c>
      <c r="H135" s="1">
        <v>44367</v>
      </c>
      <c r="K135" t="s">
        <v>2168</v>
      </c>
      <c r="L135" t="s">
        <v>2169</v>
      </c>
      <c r="M135" t="s">
        <v>2170</v>
      </c>
      <c r="N135">
        <v>628</v>
      </c>
      <c r="O135" t="s">
        <v>2171</v>
      </c>
      <c r="P135" t="s">
        <v>18</v>
      </c>
    </row>
    <row r="136" spans="1:16" x14ac:dyDescent="0.35">
      <c r="A136">
        <v>6787264</v>
      </c>
      <c r="B136" t="s">
        <v>2172</v>
      </c>
      <c r="C136" t="str">
        <f>"9781789668216"</f>
        <v>9781789668216</v>
      </c>
      <c r="D136" t="str">
        <f>"9781789668223"</f>
        <v>9781789668223</v>
      </c>
      <c r="E136" t="s">
        <v>215</v>
      </c>
      <c r="F136" t="s">
        <v>215</v>
      </c>
      <c r="G136" s="1">
        <v>44530</v>
      </c>
      <c r="H136" s="1">
        <v>44490</v>
      </c>
      <c r="I136">
        <v>1</v>
      </c>
      <c r="K136" t="s">
        <v>2173</v>
      </c>
      <c r="L136" t="s">
        <v>28</v>
      </c>
      <c r="M136" t="s">
        <v>2174</v>
      </c>
      <c r="N136">
        <v>658.7</v>
      </c>
      <c r="O136" t="s">
        <v>2175</v>
      </c>
      <c r="P136" t="s">
        <v>18</v>
      </c>
    </row>
    <row r="137" spans="1:16" x14ac:dyDescent="0.35">
      <c r="A137">
        <v>6747434</v>
      </c>
      <c r="B137" t="s">
        <v>2176</v>
      </c>
      <c r="C137" t="str">
        <f>"9781799877851"</f>
        <v>9781799877851</v>
      </c>
      <c r="D137" t="str">
        <f>"9781799877875"</f>
        <v>9781799877875</v>
      </c>
      <c r="E137" t="s">
        <v>138</v>
      </c>
      <c r="F137" t="s">
        <v>1789</v>
      </c>
      <c r="G137" s="1">
        <v>44526</v>
      </c>
      <c r="H137" s="1">
        <v>44478</v>
      </c>
      <c r="K137" t="s">
        <v>2177</v>
      </c>
      <c r="L137" t="s">
        <v>38</v>
      </c>
      <c r="M137" t="s">
        <v>2178</v>
      </c>
      <c r="N137">
        <v>307.1216</v>
      </c>
      <c r="O137" t="s">
        <v>2179</v>
      </c>
      <c r="P137" t="s">
        <v>18</v>
      </c>
    </row>
    <row r="138" spans="1:16" x14ac:dyDescent="0.35">
      <c r="A138">
        <v>6803568</v>
      </c>
      <c r="B138" t="s">
        <v>2180</v>
      </c>
      <c r="C138" t="str">
        <f>"9781799879633"</f>
        <v>9781799879633</v>
      </c>
      <c r="D138" t="str">
        <f>"9781799879664"</f>
        <v>9781799879664</v>
      </c>
      <c r="E138" t="s">
        <v>138</v>
      </c>
      <c r="F138" t="s">
        <v>1789</v>
      </c>
      <c r="G138" s="1">
        <v>44526</v>
      </c>
      <c r="H138" s="1">
        <v>44513</v>
      </c>
      <c r="K138" t="s">
        <v>2181</v>
      </c>
      <c r="L138" t="s">
        <v>41</v>
      </c>
      <c r="M138" t="s">
        <v>2182</v>
      </c>
      <c r="N138">
        <v>338.92700000000002</v>
      </c>
      <c r="O138" t="s">
        <v>2183</v>
      </c>
      <c r="P138" t="s">
        <v>18</v>
      </c>
    </row>
    <row r="139" spans="1:16" x14ac:dyDescent="0.35">
      <c r="A139">
        <v>6803992</v>
      </c>
      <c r="B139" t="s">
        <v>2184</v>
      </c>
      <c r="C139" t="str">
        <f>"9781800712737"</f>
        <v>9781800712737</v>
      </c>
      <c r="D139" t="str">
        <f>"9781800712720"</f>
        <v>9781800712720</v>
      </c>
      <c r="E139" t="s">
        <v>187</v>
      </c>
      <c r="F139" t="s">
        <v>187</v>
      </c>
      <c r="G139" s="1">
        <v>44526</v>
      </c>
      <c r="H139" s="1">
        <v>44515</v>
      </c>
      <c r="J139" t="s">
        <v>2185</v>
      </c>
      <c r="K139" t="s">
        <v>2186</v>
      </c>
      <c r="L139" t="s">
        <v>69</v>
      </c>
      <c r="M139" t="s">
        <v>2187</v>
      </c>
      <c r="N139">
        <v>647.94000000000005</v>
      </c>
      <c r="O139" t="s">
        <v>2188</v>
      </c>
      <c r="P139" t="s">
        <v>18</v>
      </c>
    </row>
    <row r="140" spans="1:16" x14ac:dyDescent="0.35">
      <c r="A140">
        <v>6803995</v>
      </c>
      <c r="B140" t="s">
        <v>2189</v>
      </c>
      <c r="C140" t="str">
        <f>"9781801171342"</f>
        <v>9781801171342</v>
      </c>
      <c r="D140" t="str">
        <f>"9781801171335"</f>
        <v>9781801171335</v>
      </c>
      <c r="E140" t="s">
        <v>187</v>
      </c>
      <c r="F140" t="s">
        <v>187</v>
      </c>
      <c r="G140" s="1">
        <v>44526</v>
      </c>
      <c r="H140" s="1">
        <v>44515</v>
      </c>
      <c r="J140" t="s">
        <v>2190</v>
      </c>
      <c r="K140" t="s">
        <v>2191</v>
      </c>
      <c r="L140" t="s">
        <v>53</v>
      </c>
      <c r="M140" t="s">
        <v>2192</v>
      </c>
      <c r="N140">
        <v>363.73099999999999</v>
      </c>
      <c r="O140" t="s">
        <v>2193</v>
      </c>
      <c r="P140" t="s">
        <v>18</v>
      </c>
    </row>
    <row r="141" spans="1:16" x14ac:dyDescent="0.35">
      <c r="A141">
        <v>6804086</v>
      </c>
      <c r="B141" t="s">
        <v>2194</v>
      </c>
      <c r="C141" t="str">
        <f>"9781538162682"</f>
        <v>9781538162682</v>
      </c>
      <c r="D141" t="str">
        <f>"9781538162699"</f>
        <v>9781538162699</v>
      </c>
      <c r="E141" t="s">
        <v>443</v>
      </c>
      <c r="F141" t="s">
        <v>443</v>
      </c>
      <c r="G141" s="1">
        <v>44526</v>
      </c>
      <c r="H141" s="1">
        <v>44516</v>
      </c>
      <c r="K141" t="s">
        <v>2195</v>
      </c>
      <c r="L141" t="s">
        <v>463</v>
      </c>
      <c r="M141" t="s">
        <v>2196</v>
      </c>
      <c r="N141">
        <v>179.1</v>
      </c>
      <c r="O141" t="s">
        <v>2197</v>
      </c>
      <c r="P141" t="s">
        <v>18</v>
      </c>
    </row>
    <row r="142" spans="1:16" x14ac:dyDescent="0.35">
      <c r="A142">
        <v>6808911</v>
      </c>
      <c r="B142" t="s">
        <v>2198</v>
      </c>
      <c r="C142" t="str">
        <f>"9780128240502"</f>
        <v>9780128240502</v>
      </c>
      <c r="D142" t="str">
        <f>"9780128240519"</f>
        <v>9780128240519</v>
      </c>
      <c r="E142" t="s">
        <v>190</v>
      </c>
      <c r="F142" t="s">
        <v>280</v>
      </c>
      <c r="G142" s="1">
        <v>44522</v>
      </c>
      <c r="H142" s="1">
        <v>44525</v>
      </c>
      <c r="J142" t="s">
        <v>487</v>
      </c>
      <c r="K142" t="s">
        <v>2199</v>
      </c>
      <c r="L142" t="s">
        <v>129</v>
      </c>
      <c r="M142" t="s">
        <v>2200</v>
      </c>
      <c r="N142">
        <v>624.18330287000003</v>
      </c>
      <c r="O142" t="s">
        <v>2201</v>
      </c>
      <c r="P142" t="s">
        <v>18</v>
      </c>
    </row>
    <row r="143" spans="1:16" x14ac:dyDescent="0.35">
      <c r="A143">
        <v>6808923</v>
      </c>
      <c r="B143" t="s">
        <v>2202</v>
      </c>
      <c r="C143" t="str">
        <f>"9780128198506"</f>
        <v>9780128198506</v>
      </c>
      <c r="D143" t="str">
        <f>"9780128198513"</f>
        <v>9780128198513</v>
      </c>
      <c r="E143" t="s">
        <v>1699</v>
      </c>
      <c r="F143" t="s">
        <v>1699</v>
      </c>
      <c r="G143" s="1">
        <v>44522</v>
      </c>
      <c r="H143" s="1">
        <v>44525</v>
      </c>
      <c r="K143" t="s">
        <v>2203</v>
      </c>
      <c r="L143" t="s">
        <v>2204</v>
      </c>
      <c r="M143" t="s">
        <v>2205</v>
      </c>
      <c r="N143">
        <v>541.34820000000002</v>
      </c>
      <c r="O143" t="s">
        <v>2206</v>
      </c>
      <c r="P143" t="s">
        <v>18</v>
      </c>
    </row>
    <row r="144" spans="1:16" x14ac:dyDescent="0.35">
      <c r="A144">
        <v>6789501</v>
      </c>
      <c r="B144" t="s">
        <v>2207</v>
      </c>
      <c r="C144" t="str">
        <f>"9781799885016"</f>
        <v>9781799885016</v>
      </c>
      <c r="D144" t="str">
        <f>"9781799885047"</f>
        <v>9781799885047</v>
      </c>
      <c r="E144" t="s">
        <v>138</v>
      </c>
      <c r="F144" t="s">
        <v>1769</v>
      </c>
      <c r="G144" s="1">
        <v>44519</v>
      </c>
      <c r="H144" s="1">
        <v>44492</v>
      </c>
      <c r="K144" t="s">
        <v>2208</v>
      </c>
      <c r="L144" t="s">
        <v>41</v>
      </c>
      <c r="M144" t="s">
        <v>2209</v>
      </c>
      <c r="N144">
        <v>338.92700000000002</v>
      </c>
      <c r="O144" t="s">
        <v>2210</v>
      </c>
      <c r="P144" t="s">
        <v>18</v>
      </c>
    </row>
    <row r="145" spans="1:16" x14ac:dyDescent="0.35">
      <c r="A145">
        <v>6732854</v>
      </c>
      <c r="B145" t="s">
        <v>2211</v>
      </c>
      <c r="C145" t="str">
        <f>"9781786999245"</f>
        <v>9781786999245</v>
      </c>
      <c r="D145" t="str">
        <f>"9781786999214"</f>
        <v>9781786999214</v>
      </c>
      <c r="E145" t="s">
        <v>392</v>
      </c>
      <c r="F145" t="s">
        <v>393</v>
      </c>
      <c r="G145" s="1">
        <v>44518</v>
      </c>
      <c r="H145" s="1">
        <v>44462</v>
      </c>
      <c r="J145" t="s">
        <v>2212</v>
      </c>
      <c r="K145" t="s">
        <v>2213</v>
      </c>
      <c r="L145" t="s">
        <v>38</v>
      </c>
      <c r="M145" t="s">
        <v>2214</v>
      </c>
      <c r="N145">
        <v>307.14120967899999</v>
      </c>
      <c r="O145" t="s">
        <v>2215</v>
      </c>
      <c r="P145" t="s">
        <v>18</v>
      </c>
    </row>
    <row r="146" spans="1:16" x14ac:dyDescent="0.35">
      <c r="A146">
        <v>6808926</v>
      </c>
      <c r="B146" t="s">
        <v>2216</v>
      </c>
      <c r="C146" t="str">
        <f>"9780128198797"</f>
        <v>9780128198797</v>
      </c>
      <c r="D146" t="str">
        <f>"9780323851824"</f>
        <v>9780323851824</v>
      </c>
      <c r="E146" t="s">
        <v>1699</v>
      </c>
      <c r="F146" t="s">
        <v>1699</v>
      </c>
      <c r="G146" s="1">
        <v>44518</v>
      </c>
      <c r="H146" s="1">
        <v>44525</v>
      </c>
      <c r="J146" t="s">
        <v>1737</v>
      </c>
      <c r="K146" t="s">
        <v>2217</v>
      </c>
      <c r="L146" t="s">
        <v>76</v>
      </c>
      <c r="M146" t="s">
        <v>2218</v>
      </c>
      <c r="N146">
        <v>660.02859999999998</v>
      </c>
      <c r="O146" t="s">
        <v>2219</v>
      </c>
      <c r="P146" t="s">
        <v>18</v>
      </c>
    </row>
    <row r="147" spans="1:16" x14ac:dyDescent="0.35">
      <c r="A147">
        <v>6808938</v>
      </c>
      <c r="B147" t="s">
        <v>2220</v>
      </c>
      <c r="C147" t="str">
        <f>"9780128238950"</f>
        <v>9780128238950</v>
      </c>
      <c r="D147" t="str">
        <f>"9780128238967"</f>
        <v>9780128238967</v>
      </c>
      <c r="E147" t="s">
        <v>1699</v>
      </c>
      <c r="F147" t="s">
        <v>1699</v>
      </c>
      <c r="G147" s="1">
        <v>44518</v>
      </c>
      <c r="H147" s="1">
        <v>44525</v>
      </c>
      <c r="J147" t="s">
        <v>291</v>
      </c>
      <c r="K147" t="s">
        <v>2221</v>
      </c>
      <c r="L147" t="s">
        <v>105</v>
      </c>
      <c r="M147" t="s">
        <v>2222</v>
      </c>
      <c r="N147">
        <v>363.73209430000003</v>
      </c>
      <c r="O147" t="s">
        <v>2223</v>
      </c>
      <c r="P147" t="s">
        <v>18</v>
      </c>
    </row>
    <row r="148" spans="1:16" x14ac:dyDescent="0.35">
      <c r="A148">
        <v>6870876</v>
      </c>
      <c r="B148" t="s">
        <v>2224</v>
      </c>
      <c r="C148" t="str">
        <f>""</f>
        <v/>
      </c>
      <c r="D148" t="str">
        <f>"9781803820026"</f>
        <v>9781803820026</v>
      </c>
      <c r="E148" t="s">
        <v>187</v>
      </c>
      <c r="F148" t="s">
        <v>187</v>
      </c>
      <c r="G148" s="1">
        <v>44518</v>
      </c>
      <c r="H148" s="1">
        <v>44587</v>
      </c>
      <c r="J148" t="s">
        <v>2225</v>
      </c>
      <c r="K148" t="s">
        <v>2226</v>
      </c>
      <c r="L148" t="s">
        <v>56</v>
      </c>
      <c r="M148" t="s">
        <v>2227</v>
      </c>
      <c r="N148">
        <v>5.7</v>
      </c>
      <c r="O148" t="s">
        <v>2228</v>
      </c>
      <c r="P148" t="s">
        <v>18</v>
      </c>
    </row>
    <row r="149" spans="1:16" x14ac:dyDescent="0.35">
      <c r="A149">
        <v>6802025</v>
      </c>
      <c r="B149" t="s">
        <v>2229</v>
      </c>
      <c r="C149" t="str">
        <f>"9780323851176"</f>
        <v>9780323851176</v>
      </c>
      <c r="D149" t="str">
        <f>"9780323851183"</f>
        <v>9780323851183</v>
      </c>
      <c r="E149" t="s">
        <v>190</v>
      </c>
      <c r="F149" t="s">
        <v>191</v>
      </c>
      <c r="G149" s="1">
        <v>44515</v>
      </c>
      <c r="H149" s="1">
        <v>44511</v>
      </c>
      <c r="J149" t="s">
        <v>2126</v>
      </c>
      <c r="K149" t="s">
        <v>2230</v>
      </c>
      <c r="L149" t="s">
        <v>56</v>
      </c>
      <c r="M149" t="s">
        <v>2231</v>
      </c>
      <c r="N149">
        <v>5.7</v>
      </c>
      <c r="O149" t="s">
        <v>2232</v>
      </c>
      <c r="P149" t="s">
        <v>18</v>
      </c>
    </row>
    <row r="150" spans="1:16" x14ac:dyDescent="0.35">
      <c r="A150">
        <v>6783564</v>
      </c>
      <c r="B150" t="s">
        <v>2233</v>
      </c>
      <c r="C150" t="str">
        <f>"9781799884828"</f>
        <v>9781799884828</v>
      </c>
      <c r="D150" t="str">
        <f>"9781799884859"</f>
        <v>9781799884859</v>
      </c>
      <c r="E150" t="s">
        <v>138</v>
      </c>
      <c r="F150" t="s">
        <v>1764</v>
      </c>
      <c r="G150" s="1">
        <v>44512</v>
      </c>
      <c r="H150" s="1">
        <v>44485</v>
      </c>
      <c r="K150" t="s">
        <v>1774</v>
      </c>
      <c r="L150" t="s">
        <v>41</v>
      </c>
      <c r="M150" t="s">
        <v>2096</v>
      </c>
      <c r="N150">
        <v>338.92700000000002</v>
      </c>
      <c r="O150" t="s">
        <v>2234</v>
      </c>
      <c r="P150" t="s">
        <v>18</v>
      </c>
    </row>
    <row r="151" spans="1:16" x14ac:dyDescent="0.35">
      <c r="A151">
        <v>6798664</v>
      </c>
      <c r="B151" t="s">
        <v>2235</v>
      </c>
      <c r="C151" t="str">
        <f>"9780323851633"</f>
        <v>9780323851633</v>
      </c>
      <c r="D151" t="str">
        <f>"9780323860000"</f>
        <v>9780323860000</v>
      </c>
      <c r="E151" t="s">
        <v>1699</v>
      </c>
      <c r="F151" t="s">
        <v>1699</v>
      </c>
      <c r="G151" s="1">
        <v>44509</v>
      </c>
      <c r="H151" s="1">
        <v>44505</v>
      </c>
      <c r="K151" t="s">
        <v>2236</v>
      </c>
      <c r="L151" t="s">
        <v>118</v>
      </c>
      <c r="M151" t="s">
        <v>2237</v>
      </c>
      <c r="N151">
        <v>660.62</v>
      </c>
      <c r="O151" t="s">
        <v>2238</v>
      </c>
      <c r="P151" t="s">
        <v>18</v>
      </c>
    </row>
    <row r="152" spans="1:16" x14ac:dyDescent="0.35">
      <c r="A152">
        <v>6739372</v>
      </c>
      <c r="B152" t="s">
        <v>2239</v>
      </c>
      <c r="C152" t="str">
        <f>""</f>
        <v/>
      </c>
      <c r="D152" t="str">
        <f>"9783110726145"</f>
        <v>9783110726145</v>
      </c>
      <c r="E152" t="s">
        <v>404</v>
      </c>
      <c r="F152" t="s">
        <v>404</v>
      </c>
      <c r="G152" s="1">
        <v>44508</v>
      </c>
      <c r="H152" s="1">
        <v>44473</v>
      </c>
      <c r="K152" t="s">
        <v>2240</v>
      </c>
      <c r="L152" t="s">
        <v>319</v>
      </c>
      <c r="M152" t="s">
        <v>2241</v>
      </c>
      <c r="N152" t="s">
        <v>2242</v>
      </c>
      <c r="O152" t="s">
        <v>1543</v>
      </c>
      <c r="P152" t="s">
        <v>18</v>
      </c>
    </row>
    <row r="153" spans="1:16" x14ac:dyDescent="0.35">
      <c r="A153">
        <v>6790651</v>
      </c>
      <c r="B153" t="s">
        <v>2243</v>
      </c>
      <c r="C153" t="str">
        <f>"9781801178952"</f>
        <v>9781801178952</v>
      </c>
      <c r="D153" t="str">
        <f>"9781801178945"</f>
        <v>9781801178945</v>
      </c>
      <c r="E153" t="s">
        <v>187</v>
      </c>
      <c r="F153" t="s">
        <v>187</v>
      </c>
      <c r="G153" s="1">
        <v>44508</v>
      </c>
      <c r="H153" s="1">
        <v>44494</v>
      </c>
      <c r="J153" t="s">
        <v>2244</v>
      </c>
      <c r="K153" t="s">
        <v>2245</v>
      </c>
      <c r="L153" t="s">
        <v>41</v>
      </c>
      <c r="M153" t="s">
        <v>252</v>
      </c>
      <c r="N153">
        <v>330.9</v>
      </c>
      <c r="O153" t="s">
        <v>318</v>
      </c>
      <c r="P153" t="s">
        <v>18</v>
      </c>
    </row>
    <row r="154" spans="1:16" x14ac:dyDescent="0.35">
      <c r="A154">
        <v>6790654</v>
      </c>
      <c r="B154" t="s">
        <v>2246</v>
      </c>
      <c r="C154" t="str">
        <f>"9781789731026"</f>
        <v>9781789731026</v>
      </c>
      <c r="D154" t="str">
        <f>"9781789730999"</f>
        <v>9781789730999</v>
      </c>
      <c r="E154" t="s">
        <v>187</v>
      </c>
      <c r="F154" t="s">
        <v>187</v>
      </c>
      <c r="G154" s="1">
        <v>44508</v>
      </c>
      <c r="H154" s="1">
        <v>44494</v>
      </c>
      <c r="J154" t="s">
        <v>2190</v>
      </c>
      <c r="K154" t="s">
        <v>2247</v>
      </c>
      <c r="L154" t="s">
        <v>41</v>
      </c>
      <c r="M154" t="s">
        <v>2248</v>
      </c>
      <c r="N154">
        <v>338.92700000000002</v>
      </c>
      <c r="O154" t="s">
        <v>2249</v>
      </c>
      <c r="P154" t="s">
        <v>18</v>
      </c>
    </row>
    <row r="155" spans="1:16" x14ac:dyDescent="0.35">
      <c r="A155">
        <v>6790657</v>
      </c>
      <c r="B155" t="s">
        <v>2243</v>
      </c>
      <c r="C155" t="str">
        <f>"9781801175951"</f>
        <v>9781801175951</v>
      </c>
      <c r="D155" t="str">
        <f>"9781801175944"</f>
        <v>9781801175944</v>
      </c>
      <c r="E155" t="s">
        <v>187</v>
      </c>
      <c r="F155" t="s">
        <v>187</v>
      </c>
      <c r="G155" s="1">
        <v>44508</v>
      </c>
      <c r="H155" s="1">
        <v>44494</v>
      </c>
      <c r="J155" t="s">
        <v>2244</v>
      </c>
      <c r="K155" t="s">
        <v>2245</v>
      </c>
      <c r="L155" t="s">
        <v>26</v>
      </c>
      <c r="M155" t="s">
        <v>252</v>
      </c>
      <c r="N155">
        <v>330.9</v>
      </c>
      <c r="O155" t="s">
        <v>318</v>
      </c>
      <c r="P155" t="s">
        <v>18</v>
      </c>
    </row>
    <row r="156" spans="1:16" x14ac:dyDescent="0.35">
      <c r="A156">
        <v>6796484</v>
      </c>
      <c r="B156" t="s">
        <v>2250</v>
      </c>
      <c r="C156" t="str">
        <f>"9781538156483"</f>
        <v>9781538156483</v>
      </c>
      <c r="D156" t="str">
        <f>"9781538156490"</f>
        <v>9781538156490</v>
      </c>
      <c r="E156" t="s">
        <v>443</v>
      </c>
      <c r="F156" t="s">
        <v>443</v>
      </c>
      <c r="G156" s="1">
        <v>44508</v>
      </c>
      <c r="H156" s="1">
        <v>44502</v>
      </c>
      <c r="J156" t="s">
        <v>2250</v>
      </c>
      <c r="K156" t="s">
        <v>2251</v>
      </c>
      <c r="L156" t="s">
        <v>463</v>
      </c>
      <c r="M156" t="s">
        <v>2252</v>
      </c>
      <c r="N156">
        <v>179.10951</v>
      </c>
      <c r="O156" t="s">
        <v>2253</v>
      </c>
      <c r="P156" t="s">
        <v>18</v>
      </c>
    </row>
    <row r="157" spans="1:16" x14ac:dyDescent="0.35">
      <c r="A157">
        <v>6823333</v>
      </c>
      <c r="B157" t="s">
        <v>2254</v>
      </c>
      <c r="C157" t="str">
        <f>"9789811243226"</f>
        <v>9789811243226</v>
      </c>
      <c r="D157" t="str">
        <f>"9789811243233"</f>
        <v>9789811243233</v>
      </c>
      <c r="E157" t="s">
        <v>184</v>
      </c>
      <c r="F157" t="s">
        <v>185</v>
      </c>
      <c r="G157" s="1">
        <v>44508</v>
      </c>
      <c r="H157" s="1">
        <v>44541</v>
      </c>
      <c r="K157" t="s">
        <v>2255</v>
      </c>
      <c r="L157" t="s">
        <v>186</v>
      </c>
      <c r="M157" t="s">
        <v>2256</v>
      </c>
      <c r="N157">
        <v>601</v>
      </c>
      <c r="O157" t="s">
        <v>2257</v>
      </c>
      <c r="P157" t="s">
        <v>18</v>
      </c>
    </row>
    <row r="158" spans="1:16" x14ac:dyDescent="0.35">
      <c r="A158">
        <v>6870863</v>
      </c>
      <c r="B158" t="s">
        <v>2258</v>
      </c>
      <c r="C158" t="str">
        <f>""</f>
        <v/>
      </c>
      <c r="D158" t="str">
        <f>"9781803821207"</f>
        <v>9781803821207</v>
      </c>
      <c r="E158" t="s">
        <v>187</v>
      </c>
      <c r="F158" t="s">
        <v>187</v>
      </c>
      <c r="G158" s="1">
        <v>44508</v>
      </c>
      <c r="H158" s="1">
        <v>44587</v>
      </c>
      <c r="J158" t="s">
        <v>2259</v>
      </c>
      <c r="K158" t="s">
        <v>2260</v>
      </c>
      <c r="L158" t="s">
        <v>479</v>
      </c>
      <c r="M158" t="s">
        <v>2261</v>
      </c>
      <c r="N158">
        <v>956.45039999999995</v>
      </c>
      <c r="O158" t="s">
        <v>2262</v>
      </c>
      <c r="P158" t="s">
        <v>18</v>
      </c>
    </row>
    <row r="159" spans="1:16" x14ac:dyDescent="0.35">
      <c r="A159">
        <v>7077897</v>
      </c>
      <c r="B159" t="s">
        <v>2263</v>
      </c>
      <c r="C159" t="str">
        <f>""</f>
        <v/>
      </c>
      <c r="D159" t="str">
        <f>"9783110689860"</f>
        <v>9783110689860</v>
      </c>
      <c r="E159" t="s">
        <v>404</v>
      </c>
      <c r="F159" t="s">
        <v>404</v>
      </c>
      <c r="G159" s="1">
        <v>44508</v>
      </c>
      <c r="H159" s="1">
        <v>44801</v>
      </c>
      <c r="J159" t="s">
        <v>2264</v>
      </c>
      <c r="K159" t="s">
        <v>2265</v>
      </c>
      <c r="L159" t="s">
        <v>28</v>
      </c>
      <c r="N159">
        <v>658.40830000000005</v>
      </c>
      <c r="P159" t="s">
        <v>18</v>
      </c>
    </row>
    <row r="160" spans="1:16" x14ac:dyDescent="0.35">
      <c r="A160">
        <v>6784251</v>
      </c>
      <c r="B160" t="s">
        <v>2266</v>
      </c>
      <c r="C160" t="str">
        <f>"9781800436374"</f>
        <v>9781800436374</v>
      </c>
      <c r="D160" t="str">
        <f>"9781800436367"</f>
        <v>9781800436367</v>
      </c>
      <c r="E160" t="s">
        <v>187</v>
      </c>
      <c r="F160" t="s">
        <v>187</v>
      </c>
      <c r="G160" s="1">
        <v>44505</v>
      </c>
      <c r="H160" s="1">
        <v>44487</v>
      </c>
      <c r="K160" t="s">
        <v>2267</v>
      </c>
      <c r="L160" t="s">
        <v>38</v>
      </c>
      <c r="M160" t="s">
        <v>2268</v>
      </c>
      <c r="N160">
        <v>307.76</v>
      </c>
      <c r="O160" t="s">
        <v>2269</v>
      </c>
      <c r="P160" t="s">
        <v>18</v>
      </c>
    </row>
    <row r="161" spans="1:16" x14ac:dyDescent="0.35">
      <c r="A161">
        <v>6784253</v>
      </c>
      <c r="B161" t="s">
        <v>2270</v>
      </c>
      <c r="C161" t="str">
        <f>"9781801172134"</f>
        <v>9781801172134</v>
      </c>
      <c r="D161" t="str">
        <f>"9781801172141"</f>
        <v>9781801172141</v>
      </c>
      <c r="E161" t="s">
        <v>187</v>
      </c>
      <c r="F161" t="s">
        <v>187</v>
      </c>
      <c r="G161" s="1">
        <v>44505</v>
      </c>
      <c r="H161" s="1">
        <v>44487</v>
      </c>
      <c r="K161" t="s">
        <v>2271</v>
      </c>
      <c r="L161" t="s">
        <v>28</v>
      </c>
      <c r="M161" t="s">
        <v>1676</v>
      </c>
      <c r="N161" t="s">
        <v>54</v>
      </c>
      <c r="O161" t="s">
        <v>2272</v>
      </c>
      <c r="P161" t="s">
        <v>18</v>
      </c>
    </row>
    <row r="162" spans="1:16" x14ac:dyDescent="0.35">
      <c r="A162">
        <v>6792358</v>
      </c>
      <c r="B162" t="s">
        <v>2273</v>
      </c>
      <c r="C162" t="str">
        <f>"9780128228661"</f>
        <v>9780128228661</v>
      </c>
      <c r="D162" t="str">
        <f>"9780128228678"</f>
        <v>9780128228678</v>
      </c>
      <c r="E162" t="s">
        <v>190</v>
      </c>
      <c r="F162" t="s">
        <v>191</v>
      </c>
      <c r="G162" s="1">
        <v>44505</v>
      </c>
      <c r="H162" s="1">
        <v>44496</v>
      </c>
      <c r="K162" t="s">
        <v>2274</v>
      </c>
      <c r="L162" t="s">
        <v>2275</v>
      </c>
      <c r="M162" t="s">
        <v>2276</v>
      </c>
      <c r="N162">
        <v>664.08</v>
      </c>
      <c r="O162" t="s">
        <v>2277</v>
      </c>
      <c r="P162" t="s">
        <v>18</v>
      </c>
    </row>
    <row r="163" spans="1:16" x14ac:dyDescent="0.35">
      <c r="A163">
        <v>6977690</v>
      </c>
      <c r="B163" t="s">
        <v>2278</v>
      </c>
      <c r="C163" t="str">
        <f>"9789264583689"</f>
        <v>9789264583689</v>
      </c>
      <c r="D163" t="str">
        <f>"9789264976139"</f>
        <v>9789264976139</v>
      </c>
      <c r="E163" t="s">
        <v>366</v>
      </c>
      <c r="F163" t="s">
        <v>201</v>
      </c>
      <c r="G163" s="1">
        <v>44505</v>
      </c>
      <c r="H163" s="1">
        <v>44693</v>
      </c>
      <c r="I163">
        <v>1</v>
      </c>
      <c r="K163" t="s">
        <v>201</v>
      </c>
      <c r="L163" t="s">
        <v>28</v>
      </c>
      <c r="M163" t="s">
        <v>2279</v>
      </c>
      <c r="O163" t="s">
        <v>2280</v>
      </c>
      <c r="P163" t="s">
        <v>18</v>
      </c>
    </row>
    <row r="164" spans="1:16" x14ac:dyDescent="0.35">
      <c r="A164">
        <v>6725109</v>
      </c>
      <c r="B164" t="s">
        <v>2281</v>
      </c>
      <c r="C164" t="str">
        <f>"9781786998965"</f>
        <v>9781786998965</v>
      </c>
      <c r="D164" t="str">
        <f>"9781786998996"</f>
        <v>9781786998996</v>
      </c>
      <c r="E164" t="s">
        <v>392</v>
      </c>
      <c r="F164" t="s">
        <v>393</v>
      </c>
      <c r="G164" s="1">
        <v>44504</v>
      </c>
      <c r="H164" s="1">
        <v>44452</v>
      </c>
      <c r="J164" t="s">
        <v>2282</v>
      </c>
      <c r="K164" t="s">
        <v>2283</v>
      </c>
      <c r="L164" t="s">
        <v>28</v>
      </c>
      <c r="M164" t="s">
        <v>2284</v>
      </c>
      <c r="N164">
        <v>388</v>
      </c>
      <c r="O164" t="s">
        <v>2285</v>
      </c>
      <c r="P164" t="s">
        <v>18</v>
      </c>
    </row>
    <row r="165" spans="1:16" x14ac:dyDescent="0.35">
      <c r="A165">
        <v>6790680</v>
      </c>
      <c r="B165" t="s">
        <v>2286</v>
      </c>
      <c r="C165" t="str">
        <f>"9780128233948"</f>
        <v>9780128233948</v>
      </c>
      <c r="D165" t="str">
        <f>"9780128225882"</f>
        <v>9780128225882</v>
      </c>
      <c r="E165" t="s">
        <v>1699</v>
      </c>
      <c r="F165" t="s">
        <v>1699</v>
      </c>
      <c r="G165" s="1">
        <v>44504</v>
      </c>
      <c r="H165" s="1">
        <v>44494</v>
      </c>
      <c r="J165" t="s">
        <v>2287</v>
      </c>
      <c r="K165" t="s">
        <v>2288</v>
      </c>
      <c r="L165" t="s">
        <v>186</v>
      </c>
      <c r="M165" t="s">
        <v>2289</v>
      </c>
      <c r="N165">
        <v>620.5</v>
      </c>
      <c r="O165" t="s">
        <v>269</v>
      </c>
      <c r="P165" t="s">
        <v>18</v>
      </c>
    </row>
    <row r="166" spans="1:16" x14ac:dyDescent="0.35">
      <c r="A166">
        <v>6796446</v>
      </c>
      <c r="B166" t="s">
        <v>2290</v>
      </c>
      <c r="C166" t="str">
        <f>"9780323854658"</f>
        <v>9780323854658</v>
      </c>
      <c r="D166" t="str">
        <f>"9780323854665"</f>
        <v>9780323854665</v>
      </c>
      <c r="E166" t="s">
        <v>190</v>
      </c>
      <c r="F166" t="s">
        <v>2139</v>
      </c>
      <c r="G166" s="1">
        <v>44504</v>
      </c>
      <c r="H166" s="1">
        <v>44501</v>
      </c>
      <c r="J166" t="s">
        <v>2291</v>
      </c>
      <c r="K166" t="s">
        <v>2292</v>
      </c>
      <c r="L166" t="s">
        <v>2293</v>
      </c>
      <c r="M166" t="s">
        <v>2294</v>
      </c>
      <c r="N166">
        <v>553.28499999999997</v>
      </c>
      <c r="O166" t="s">
        <v>2295</v>
      </c>
      <c r="P166" t="s">
        <v>18</v>
      </c>
    </row>
    <row r="167" spans="1:16" x14ac:dyDescent="0.35">
      <c r="A167">
        <v>6796448</v>
      </c>
      <c r="B167" t="s">
        <v>2296</v>
      </c>
      <c r="C167" t="str">
        <f>"9780128244951"</f>
        <v>9780128244951</v>
      </c>
      <c r="D167" t="str">
        <f>"9780323859561"</f>
        <v>9780323859561</v>
      </c>
      <c r="E167" t="s">
        <v>190</v>
      </c>
      <c r="F167" t="s">
        <v>2139</v>
      </c>
      <c r="G167" s="1">
        <v>44504</v>
      </c>
      <c r="H167" s="1">
        <v>44501</v>
      </c>
      <c r="J167" t="s">
        <v>2291</v>
      </c>
      <c r="K167" t="s">
        <v>2297</v>
      </c>
      <c r="L167" t="s">
        <v>2108</v>
      </c>
      <c r="M167" t="s">
        <v>2294</v>
      </c>
      <c r="N167">
        <v>622.33849999999995</v>
      </c>
      <c r="O167" t="s">
        <v>2298</v>
      </c>
      <c r="P167" t="s">
        <v>18</v>
      </c>
    </row>
    <row r="168" spans="1:16" x14ac:dyDescent="0.35">
      <c r="A168">
        <v>6802857</v>
      </c>
      <c r="B168" t="s">
        <v>2299</v>
      </c>
      <c r="C168" t="str">
        <f>"9780128240281"</f>
        <v>9780128240281</v>
      </c>
      <c r="D168" t="str">
        <f>"9780128240298"</f>
        <v>9780128240298</v>
      </c>
      <c r="E168" t="s">
        <v>190</v>
      </c>
      <c r="F168" t="s">
        <v>191</v>
      </c>
      <c r="G168" s="1">
        <v>44504</v>
      </c>
      <c r="H168" s="1">
        <v>44512</v>
      </c>
      <c r="J168" t="s">
        <v>291</v>
      </c>
      <c r="K168" t="s">
        <v>2300</v>
      </c>
      <c r="L168" t="s">
        <v>76</v>
      </c>
      <c r="M168" t="s">
        <v>2301</v>
      </c>
      <c r="N168">
        <v>662.88</v>
      </c>
      <c r="O168" t="s">
        <v>2302</v>
      </c>
      <c r="P168" t="s">
        <v>18</v>
      </c>
    </row>
    <row r="169" spans="1:16" x14ac:dyDescent="0.35">
      <c r="A169">
        <v>6796819</v>
      </c>
      <c r="B169" t="s">
        <v>2303</v>
      </c>
      <c r="C169" t="str">
        <f>"9780128243244"</f>
        <v>9780128243244</v>
      </c>
      <c r="D169" t="str">
        <f>"9780128243251"</f>
        <v>9780128243251</v>
      </c>
      <c r="E169" t="s">
        <v>1699</v>
      </c>
      <c r="F169" t="s">
        <v>1699</v>
      </c>
      <c r="G169" s="1">
        <v>44502</v>
      </c>
      <c r="H169" s="1">
        <v>44502</v>
      </c>
      <c r="K169" t="s">
        <v>2304</v>
      </c>
      <c r="L169" t="s">
        <v>213</v>
      </c>
      <c r="M169" t="s">
        <v>2305</v>
      </c>
      <c r="N169">
        <v>720.47</v>
      </c>
      <c r="O169" t="s">
        <v>2306</v>
      </c>
      <c r="P169" t="s">
        <v>18</v>
      </c>
    </row>
    <row r="170" spans="1:16" x14ac:dyDescent="0.35">
      <c r="A170">
        <v>6738753</v>
      </c>
      <c r="B170" t="s">
        <v>2307</v>
      </c>
      <c r="C170" t="str">
        <f>"9781527574212"</f>
        <v>9781527574212</v>
      </c>
      <c r="D170" t="str">
        <f>"9781527575370"</f>
        <v>9781527575370</v>
      </c>
      <c r="E170" t="s">
        <v>1662</v>
      </c>
      <c r="F170" t="s">
        <v>1662</v>
      </c>
      <c r="G170" s="1">
        <v>44501</v>
      </c>
      <c r="H170" s="1">
        <v>44471</v>
      </c>
      <c r="K170" t="s">
        <v>2308</v>
      </c>
      <c r="L170" t="s">
        <v>438</v>
      </c>
      <c r="M170" t="s">
        <v>2309</v>
      </c>
      <c r="N170">
        <v>363.73874525999997</v>
      </c>
      <c r="O170" t="s">
        <v>2310</v>
      </c>
      <c r="P170" t="s">
        <v>18</v>
      </c>
    </row>
    <row r="171" spans="1:16" x14ac:dyDescent="0.35">
      <c r="A171">
        <v>6738762</v>
      </c>
      <c r="B171" t="s">
        <v>2311</v>
      </c>
      <c r="C171" t="str">
        <f>"9781527574205"</f>
        <v>9781527574205</v>
      </c>
      <c r="D171" t="str">
        <f>"9781527575387"</f>
        <v>9781527575387</v>
      </c>
      <c r="E171" t="s">
        <v>1662</v>
      </c>
      <c r="F171" t="s">
        <v>1662</v>
      </c>
      <c r="G171" s="1">
        <v>44501</v>
      </c>
      <c r="H171" s="1">
        <v>44471</v>
      </c>
      <c r="K171" t="s">
        <v>2308</v>
      </c>
      <c r="L171" t="s">
        <v>37</v>
      </c>
      <c r="M171" t="s">
        <v>2312</v>
      </c>
      <c r="N171">
        <v>261.88</v>
      </c>
      <c r="O171" t="s">
        <v>2313</v>
      </c>
      <c r="P171" t="s">
        <v>18</v>
      </c>
    </row>
    <row r="172" spans="1:16" x14ac:dyDescent="0.35">
      <c r="A172">
        <v>6747780</v>
      </c>
      <c r="B172" t="s">
        <v>2314</v>
      </c>
      <c r="C172" t="str">
        <f>""</f>
        <v/>
      </c>
      <c r="D172" t="str">
        <f>"9781789246742"</f>
        <v>9781789246742</v>
      </c>
      <c r="E172" t="s">
        <v>333</v>
      </c>
      <c r="F172" t="s">
        <v>333</v>
      </c>
      <c r="G172" s="1">
        <v>44499</v>
      </c>
      <c r="H172" s="1">
        <v>44480</v>
      </c>
      <c r="K172" t="s">
        <v>2315</v>
      </c>
      <c r="L172" t="s">
        <v>2316</v>
      </c>
      <c r="M172" t="s">
        <v>2317</v>
      </c>
      <c r="N172">
        <v>333.70998200000002</v>
      </c>
      <c r="O172" t="s">
        <v>2318</v>
      </c>
      <c r="P172" t="s">
        <v>18</v>
      </c>
    </row>
    <row r="173" spans="1:16" x14ac:dyDescent="0.35">
      <c r="A173">
        <v>6870872</v>
      </c>
      <c r="B173" t="s">
        <v>2319</v>
      </c>
      <c r="C173" t="str">
        <f>""</f>
        <v/>
      </c>
      <c r="D173" t="str">
        <f>"9781803820101"</f>
        <v>9781803820101</v>
      </c>
      <c r="E173" t="s">
        <v>187</v>
      </c>
      <c r="F173" t="s">
        <v>187</v>
      </c>
      <c r="G173" s="1">
        <v>44498</v>
      </c>
      <c r="H173" s="1">
        <v>44587</v>
      </c>
      <c r="J173" t="s">
        <v>1852</v>
      </c>
      <c r="K173" t="s">
        <v>2320</v>
      </c>
      <c r="L173" t="s">
        <v>26</v>
      </c>
      <c r="M173" t="s">
        <v>2321</v>
      </c>
      <c r="N173">
        <v>338.92700000000002</v>
      </c>
      <c r="O173" t="s">
        <v>2322</v>
      </c>
      <c r="P173" t="s">
        <v>18</v>
      </c>
    </row>
    <row r="174" spans="1:16" x14ac:dyDescent="0.35">
      <c r="A174">
        <v>6738625</v>
      </c>
      <c r="B174" t="s">
        <v>2323</v>
      </c>
      <c r="C174" t="str">
        <f>"9781642832426"</f>
        <v>9781642832426</v>
      </c>
      <c r="D174" t="str">
        <f>"9781642832433"</f>
        <v>9781642832433</v>
      </c>
      <c r="E174" t="s">
        <v>2154</v>
      </c>
      <c r="F174" t="s">
        <v>2154</v>
      </c>
      <c r="G174" s="1">
        <v>44497</v>
      </c>
      <c r="H174" s="1">
        <v>44471</v>
      </c>
      <c r="I174">
        <v>1</v>
      </c>
      <c r="K174" t="s">
        <v>2324</v>
      </c>
      <c r="L174" t="s">
        <v>2325</v>
      </c>
      <c r="M174" t="s">
        <v>2326</v>
      </c>
      <c r="N174">
        <v>333.71530977310999</v>
      </c>
      <c r="O174" t="s">
        <v>2327</v>
      </c>
      <c r="P174" t="s">
        <v>18</v>
      </c>
    </row>
    <row r="175" spans="1:16" x14ac:dyDescent="0.35">
      <c r="A175">
        <v>6795877</v>
      </c>
      <c r="B175" t="s">
        <v>2328</v>
      </c>
      <c r="C175" t="str">
        <f>"9780128245088"</f>
        <v>9780128245088</v>
      </c>
      <c r="D175" t="str">
        <f>"9780128245095"</f>
        <v>9780128245095</v>
      </c>
      <c r="E175" t="s">
        <v>1699</v>
      </c>
      <c r="F175" t="s">
        <v>1699</v>
      </c>
      <c r="G175" s="1">
        <v>44497</v>
      </c>
      <c r="H175" s="1">
        <v>44499</v>
      </c>
      <c r="J175" t="s">
        <v>2329</v>
      </c>
      <c r="K175" t="s">
        <v>2330</v>
      </c>
      <c r="L175" t="s">
        <v>2331</v>
      </c>
      <c r="M175" t="s">
        <v>2332</v>
      </c>
      <c r="N175">
        <v>620.11699999999996</v>
      </c>
      <c r="O175" t="s">
        <v>2333</v>
      </c>
      <c r="P175" t="s">
        <v>18</v>
      </c>
    </row>
    <row r="176" spans="1:16" x14ac:dyDescent="0.35">
      <c r="A176">
        <v>6785130</v>
      </c>
      <c r="B176" t="s">
        <v>2334</v>
      </c>
      <c r="C176" t="str">
        <f>"9781433187711"</f>
        <v>9781433187711</v>
      </c>
      <c r="D176" t="str">
        <f>"9781433187728"</f>
        <v>9781433187728</v>
      </c>
      <c r="E176" t="s">
        <v>2335</v>
      </c>
      <c r="F176" t="s">
        <v>2335</v>
      </c>
      <c r="G176" s="1">
        <v>44496</v>
      </c>
      <c r="H176" s="1">
        <v>44489</v>
      </c>
      <c r="I176">
        <v>1</v>
      </c>
      <c r="K176" t="s">
        <v>2336</v>
      </c>
      <c r="L176" t="s">
        <v>26</v>
      </c>
      <c r="N176">
        <v>338.19021800000002</v>
      </c>
      <c r="P176" t="s">
        <v>18</v>
      </c>
    </row>
    <row r="177" spans="1:16" x14ac:dyDescent="0.35">
      <c r="A177">
        <v>6747862</v>
      </c>
      <c r="B177" t="s">
        <v>2337</v>
      </c>
      <c r="C177" t="str">
        <f>"9781801177894"</f>
        <v>9781801177894</v>
      </c>
      <c r="D177" t="str">
        <f>"9781801177887"</f>
        <v>9781801177887</v>
      </c>
      <c r="E177" t="s">
        <v>187</v>
      </c>
      <c r="F177" t="s">
        <v>187</v>
      </c>
      <c r="G177" s="1">
        <v>44494</v>
      </c>
      <c r="H177" s="1">
        <v>44480</v>
      </c>
      <c r="J177" t="s">
        <v>2338</v>
      </c>
      <c r="K177" t="s">
        <v>2339</v>
      </c>
      <c r="L177" t="s">
        <v>26</v>
      </c>
      <c r="M177" t="s">
        <v>255</v>
      </c>
      <c r="N177">
        <v>332</v>
      </c>
      <c r="O177" t="s">
        <v>2340</v>
      </c>
      <c r="P177" t="s">
        <v>18</v>
      </c>
    </row>
    <row r="178" spans="1:16" x14ac:dyDescent="0.35">
      <c r="A178">
        <v>6784417</v>
      </c>
      <c r="B178" t="s">
        <v>2341</v>
      </c>
      <c r="C178" t="str">
        <f>""</f>
        <v/>
      </c>
      <c r="D178" t="str">
        <f>"9783110751895"</f>
        <v>9783110751895</v>
      </c>
      <c r="E178" t="s">
        <v>404</v>
      </c>
      <c r="F178" t="s">
        <v>404</v>
      </c>
      <c r="G178" s="1">
        <v>44494</v>
      </c>
      <c r="H178" s="1">
        <v>44487</v>
      </c>
      <c r="J178" t="s">
        <v>2342</v>
      </c>
      <c r="K178" t="s">
        <v>2343</v>
      </c>
      <c r="L178" t="s">
        <v>76</v>
      </c>
      <c r="M178" t="s">
        <v>2344</v>
      </c>
      <c r="N178" t="s">
        <v>1687</v>
      </c>
      <c r="O178" t="s">
        <v>2033</v>
      </c>
      <c r="P178" t="s">
        <v>18</v>
      </c>
    </row>
    <row r="179" spans="1:16" x14ac:dyDescent="0.35">
      <c r="A179">
        <v>6796283</v>
      </c>
      <c r="B179" t="s">
        <v>2345</v>
      </c>
      <c r="C179" t="str">
        <f>"9780128213070"</f>
        <v>9780128213070</v>
      </c>
      <c r="D179" t="str">
        <f>"9780128213087"</f>
        <v>9780128213087</v>
      </c>
      <c r="E179" t="s">
        <v>190</v>
      </c>
      <c r="F179" t="s">
        <v>191</v>
      </c>
      <c r="G179" s="1">
        <v>44494</v>
      </c>
      <c r="H179" s="1">
        <v>44500</v>
      </c>
      <c r="J179" t="s">
        <v>291</v>
      </c>
      <c r="K179" t="s">
        <v>2346</v>
      </c>
      <c r="L179" t="s">
        <v>26</v>
      </c>
      <c r="M179" t="s">
        <v>2347</v>
      </c>
      <c r="N179">
        <v>338.19</v>
      </c>
      <c r="O179" t="s">
        <v>2348</v>
      </c>
      <c r="P179" t="s">
        <v>18</v>
      </c>
    </row>
    <row r="180" spans="1:16" x14ac:dyDescent="0.35">
      <c r="A180">
        <v>6977701</v>
      </c>
      <c r="B180" t="s">
        <v>2349</v>
      </c>
      <c r="C180" t="str">
        <f>"9789264410039"</f>
        <v>9789264410039</v>
      </c>
      <c r="D180" t="str">
        <f>"9789264559394"</f>
        <v>9789264559394</v>
      </c>
      <c r="E180" t="s">
        <v>366</v>
      </c>
      <c r="F180" t="s">
        <v>201</v>
      </c>
      <c r="G180" s="1">
        <v>44489</v>
      </c>
      <c r="H180" s="1">
        <v>44693</v>
      </c>
      <c r="I180">
        <v>1</v>
      </c>
      <c r="K180" t="s">
        <v>201</v>
      </c>
      <c r="L180" t="s">
        <v>112</v>
      </c>
      <c r="M180" t="s">
        <v>2350</v>
      </c>
      <c r="N180">
        <v>362.19698</v>
      </c>
      <c r="O180" t="s">
        <v>2351</v>
      </c>
      <c r="P180" t="s">
        <v>18</v>
      </c>
    </row>
    <row r="181" spans="1:16" x14ac:dyDescent="0.35">
      <c r="A181">
        <v>6735295</v>
      </c>
      <c r="B181" t="s">
        <v>2352</v>
      </c>
      <c r="C181" t="str">
        <f>"9781498586856"</f>
        <v>9781498586856</v>
      </c>
      <c r="D181" t="str">
        <f>"9781498586863"</f>
        <v>9781498586863</v>
      </c>
      <c r="E181" t="s">
        <v>446</v>
      </c>
      <c r="F181" t="s">
        <v>446</v>
      </c>
      <c r="G181" s="1">
        <v>44487</v>
      </c>
      <c r="H181" s="1">
        <v>44468</v>
      </c>
      <c r="K181" t="s">
        <v>2353</v>
      </c>
      <c r="L181" t="s">
        <v>26</v>
      </c>
      <c r="M181" t="s">
        <v>2354</v>
      </c>
      <c r="N181">
        <v>338.92700000000002</v>
      </c>
      <c r="O181" t="s">
        <v>2355</v>
      </c>
      <c r="P181" t="s">
        <v>18</v>
      </c>
    </row>
    <row r="182" spans="1:16" x14ac:dyDescent="0.35">
      <c r="A182">
        <v>6792116</v>
      </c>
      <c r="B182" t="s">
        <v>2356</v>
      </c>
      <c r="C182" t="str">
        <f>"9783736974968"</f>
        <v>9783736974968</v>
      </c>
      <c r="D182" t="str">
        <f>"9783736964969"</f>
        <v>9783736964969</v>
      </c>
      <c r="E182" t="s">
        <v>2357</v>
      </c>
      <c r="F182" t="s">
        <v>2357</v>
      </c>
      <c r="G182" s="1">
        <v>44487</v>
      </c>
      <c r="H182" s="1">
        <v>44496</v>
      </c>
      <c r="I182">
        <v>1</v>
      </c>
      <c r="K182" t="s">
        <v>2358</v>
      </c>
      <c r="L182" t="s">
        <v>2359</v>
      </c>
      <c r="M182" t="s">
        <v>2360</v>
      </c>
      <c r="N182">
        <v>578.76980000000003</v>
      </c>
      <c r="O182" t="s">
        <v>2361</v>
      </c>
      <c r="P182" t="s">
        <v>18</v>
      </c>
    </row>
    <row r="183" spans="1:16" x14ac:dyDescent="0.35">
      <c r="A183">
        <v>6734395</v>
      </c>
      <c r="B183" t="s">
        <v>2362</v>
      </c>
      <c r="C183" t="str">
        <f>"9781801178174"</f>
        <v>9781801178174</v>
      </c>
      <c r="D183" t="str">
        <f>"9781801178143"</f>
        <v>9781801178143</v>
      </c>
      <c r="E183" t="s">
        <v>187</v>
      </c>
      <c r="F183" t="s">
        <v>187</v>
      </c>
      <c r="G183" s="1">
        <v>44484</v>
      </c>
      <c r="H183" s="1">
        <v>44466</v>
      </c>
      <c r="J183" t="s">
        <v>2190</v>
      </c>
      <c r="K183" t="s">
        <v>2363</v>
      </c>
      <c r="L183" t="s">
        <v>105</v>
      </c>
      <c r="M183" t="s">
        <v>2364</v>
      </c>
      <c r="N183">
        <v>363.70499999999998</v>
      </c>
      <c r="O183" t="s">
        <v>2365</v>
      </c>
      <c r="P183" t="s">
        <v>18</v>
      </c>
    </row>
    <row r="184" spans="1:16" x14ac:dyDescent="0.35">
      <c r="A184">
        <v>6747349</v>
      </c>
      <c r="B184" t="s">
        <v>2366</v>
      </c>
      <c r="C184" t="str">
        <f>"9780128234396"</f>
        <v>9780128234396</v>
      </c>
      <c r="D184" t="str">
        <f>"9780128234457"</f>
        <v>9780128234457</v>
      </c>
      <c r="E184" t="s">
        <v>1699</v>
      </c>
      <c r="F184" t="s">
        <v>1699</v>
      </c>
      <c r="G184" s="1">
        <v>44483</v>
      </c>
      <c r="H184" s="1">
        <v>44478</v>
      </c>
      <c r="K184" t="s">
        <v>2367</v>
      </c>
      <c r="L184" t="s">
        <v>118</v>
      </c>
      <c r="M184" t="s">
        <v>2368</v>
      </c>
      <c r="N184">
        <v>660.63</v>
      </c>
      <c r="O184" t="s">
        <v>2369</v>
      </c>
      <c r="P184" t="s">
        <v>18</v>
      </c>
    </row>
    <row r="185" spans="1:16" x14ac:dyDescent="0.35">
      <c r="A185">
        <v>6748613</v>
      </c>
      <c r="B185" t="s">
        <v>2370</v>
      </c>
      <c r="C185" t="str">
        <f>"9780128235751"</f>
        <v>9780128235751</v>
      </c>
      <c r="D185" t="str">
        <f>"9780128235768"</f>
        <v>9780128235768</v>
      </c>
      <c r="E185" t="s">
        <v>1699</v>
      </c>
      <c r="F185" t="s">
        <v>1699</v>
      </c>
      <c r="G185" s="1">
        <v>44483</v>
      </c>
      <c r="H185" s="1">
        <v>44481</v>
      </c>
      <c r="J185" t="s">
        <v>2329</v>
      </c>
      <c r="K185" t="s">
        <v>2371</v>
      </c>
      <c r="L185" t="s">
        <v>307</v>
      </c>
      <c r="M185" t="s">
        <v>2372</v>
      </c>
      <c r="N185">
        <v>620.11500000000001</v>
      </c>
      <c r="O185" t="s">
        <v>2373</v>
      </c>
      <c r="P185" t="s">
        <v>18</v>
      </c>
    </row>
    <row r="186" spans="1:16" x14ac:dyDescent="0.35">
      <c r="A186">
        <v>6728387</v>
      </c>
      <c r="B186" t="s">
        <v>2374</v>
      </c>
      <c r="C186" t="str">
        <f>"9781538154199"</f>
        <v>9781538154199</v>
      </c>
      <c r="D186" t="str">
        <f>"9781538154205"</f>
        <v>9781538154205</v>
      </c>
      <c r="E186" t="s">
        <v>443</v>
      </c>
      <c r="F186" t="s">
        <v>443</v>
      </c>
      <c r="G186" s="1">
        <v>44481</v>
      </c>
      <c r="H186" s="1">
        <v>44457</v>
      </c>
      <c r="K186" t="s">
        <v>2195</v>
      </c>
      <c r="L186" t="s">
        <v>105</v>
      </c>
      <c r="M186" t="s">
        <v>2375</v>
      </c>
      <c r="N186">
        <v>363.7</v>
      </c>
      <c r="O186" t="s">
        <v>2376</v>
      </c>
      <c r="P186" t="s">
        <v>18</v>
      </c>
    </row>
    <row r="187" spans="1:16" x14ac:dyDescent="0.35">
      <c r="A187">
        <v>6731976</v>
      </c>
      <c r="B187" t="s">
        <v>2377</v>
      </c>
      <c r="C187" t="str">
        <f>"9781793633842"</f>
        <v>9781793633842</v>
      </c>
      <c r="D187" t="str">
        <f>"9781793633859"</f>
        <v>9781793633859</v>
      </c>
      <c r="E187" t="s">
        <v>445</v>
      </c>
      <c r="F187" t="s">
        <v>445</v>
      </c>
      <c r="G187" s="1">
        <v>44480</v>
      </c>
      <c r="H187" s="1">
        <v>44462</v>
      </c>
      <c r="J187" t="s">
        <v>2378</v>
      </c>
      <c r="K187" t="s">
        <v>2379</v>
      </c>
      <c r="L187" t="s">
        <v>257</v>
      </c>
      <c r="M187" t="s">
        <v>2380</v>
      </c>
      <c r="N187">
        <v>304.20956000000001</v>
      </c>
      <c r="O187" t="s">
        <v>2381</v>
      </c>
      <c r="P187" t="s">
        <v>18</v>
      </c>
    </row>
    <row r="188" spans="1:16" x14ac:dyDescent="0.35">
      <c r="A188">
        <v>6641594</v>
      </c>
      <c r="B188" t="s">
        <v>2382</v>
      </c>
      <c r="C188" t="str">
        <f>"9781071835944"</f>
        <v>9781071835944</v>
      </c>
      <c r="D188" t="str">
        <f>"9781071835937"</f>
        <v>9781071835937</v>
      </c>
      <c r="E188" t="s">
        <v>482</v>
      </c>
      <c r="F188" t="s">
        <v>482</v>
      </c>
      <c r="G188" s="1">
        <v>44476</v>
      </c>
      <c r="H188" s="1">
        <v>44433</v>
      </c>
      <c r="I188">
        <v>1</v>
      </c>
      <c r="J188" t="s">
        <v>2383</v>
      </c>
      <c r="K188" t="s">
        <v>2384</v>
      </c>
      <c r="L188" t="s">
        <v>30</v>
      </c>
      <c r="M188" t="s">
        <v>2385</v>
      </c>
      <c r="N188">
        <v>370.11599999999999</v>
      </c>
      <c r="O188" t="s">
        <v>2386</v>
      </c>
      <c r="P188" t="s">
        <v>18</v>
      </c>
    </row>
    <row r="189" spans="1:16" x14ac:dyDescent="0.35">
      <c r="A189">
        <v>6644913</v>
      </c>
      <c r="B189" t="s">
        <v>2167</v>
      </c>
      <c r="C189" t="str">
        <f>""</f>
        <v/>
      </c>
      <c r="D189" t="str">
        <f>"9781350136366"</f>
        <v>9781350136366</v>
      </c>
      <c r="E189" t="s">
        <v>539</v>
      </c>
      <c r="F189" t="s">
        <v>540</v>
      </c>
      <c r="G189" s="1">
        <v>44476</v>
      </c>
      <c r="H189" s="1">
        <v>44367</v>
      </c>
      <c r="K189" t="s">
        <v>2168</v>
      </c>
      <c r="L189" t="s">
        <v>2387</v>
      </c>
      <c r="M189" t="s">
        <v>2170</v>
      </c>
      <c r="N189">
        <v>628</v>
      </c>
      <c r="O189" t="s">
        <v>2388</v>
      </c>
      <c r="P189" t="s">
        <v>18</v>
      </c>
    </row>
    <row r="190" spans="1:16" x14ac:dyDescent="0.35">
      <c r="A190">
        <v>6688331</v>
      </c>
      <c r="B190" t="s">
        <v>2389</v>
      </c>
      <c r="C190" t="str">
        <f>"9781642831375"</f>
        <v>9781642831375</v>
      </c>
      <c r="D190" t="str">
        <f>"9781642831382"</f>
        <v>9781642831382</v>
      </c>
      <c r="E190" t="s">
        <v>2154</v>
      </c>
      <c r="F190" t="s">
        <v>2154</v>
      </c>
      <c r="G190" s="1">
        <v>44476</v>
      </c>
      <c r="H190" s="1">
        <v>44412</v>
      </c>
      <c r="I190">
        <v>1</v>
      </c>
      <c r="K190" t="s">
        <v>2390</v>
      </c>
      <c r="L190" t="s">
        <v>163</v>
      </c>
      <c r="M190" t="s">
        <v>2391</v>
      </c>
      <c r="N190">
        <v>363.72879999999998</v>
      </c>
      <c r="P190" t="s">
        <v>18</v>
      </c>
    </row>
    <row r="191" spans="1:16" x14ac:dyDescent="0.35">
      <c r="A191">
        <v>6689193</v>
      </c>
      <c r="B191" t="s">
        <v>2392</v>
      </c>
      <c r="C191" t="str">
        <f>"9783035727807"</f>
        <v>9783035727807</v>
      </c>
      <c r="D191" t="str">
        <f>"9783035738476"</f>
        <v>9783035738476</v>
      </c>
      <c r="E191" t="s">
        <v>1649</v>
      </c>
      <c r="F191" t="s">
        <v>1649</v>
      </c>
      <c r="G191" s="1">
        <v>44476</v>
      </c>
      <c r="H191" s="1">
        <v>44413</v>
      </c>
      <c r="I191">
        <v>1</v>
      </c>
      <c r="J191" t="s">
        <v>2393</v>
      </c>
      <c r="K191" t="s">
        <v>2394</v>
      </c>
      <c r="L191" t="s">
        <v>2395</v>
      </c>
      <c r="P191" t="s">
        <v>18</v>
      </c>
    </row>
    <row r="192" spans="1:16" x14ac:dyDescent="0.35">
      <c r="A192">
        <v>6739074</v>
      </c>
      <c r="B192" t="s">
        <v>2396</v>
      </c>
      <c r="C192" t="str">
        <f>"9780128228388"</f>
        <v>9780128228388</v>
      </c>
      <c r="D192" t="str">
        <f>"9780128230701"</f>
        <v>9780128230701</v>
      </c>
      <c r="E192" t="s">
        <v>1699</v>
      </c>
      <c r="F192" t="s">
        <v>1699</v>
      </c>
      <c r="G192" s="1">
        <v>44474</v>
      </c>
      <c r="H192" s="1">
        <v>44472</v>
      </c>
      <c r="K192" t="s">
        <v>2397</v>
      </c>
      <c r="L192" t="s">
        <v>141</v>
      </c>
      <c r="M192" t="s">
        <v>2398</v>
      </c>
      <c r="N192">
        <v>621.31240000000003</v>
      </c>
      <c r="O192" t="s">
        <v>2399</v>
      </c>
      <c r="P192" t="s">
        <v>18</v>
      </c>
    </row>
    <row r="193" spans="1:16" x14ac:dyDescent="0.35">
      <c r="A193">
        <v>6799490</v>
      </c>
      <c r="B193" t="s">
        <v>2400</v>
      </c>
      <c r="C193" t="str">
        <f>"9781800610835"</f>
        <v>9781800610835</v>
      </c>
      <c r="D193" t="str">
        <f>"9781800610842"</f>
        <v>9781800610842</v>
      </c>
      <c r="E193" t="s">
        <v>184</v>
      </c>
      <c r="F193" t="s">
        <v>2401</v>
      </c>
      <c r="G193" s="1">
        <v>44473</v>
      </c>
      <c r="H193" s="1">
        <v>44509</v>
      </c>
      <c r="K193" t="s">
        <v>2402</v>
      </c>
      <c r="L193" t="s">
        <v>104</v>
      </c>
      <c r="M193" t="s">
        <v>2403</v>
      </c>
      <c r="N193">
        <v>628.29999999999995</v>
      </c>
      <c r="O193" t="s">
        <v>2404</v>
      </c>
      <c r="P193" t="s">
        <v>18</v>
      </c>
    </row>
    <row r="194" spans="1:16" x14ac:dyDescent="0.35">
      <c r="A194">
        <v>6870873</v>
      </c>
      <c r="B194" t="s">
        <v>2405</v>
      </c>
      <c r="C194" t="str">
        <f>""</f>
        <v/>
      </c>
      <c r="D194" t="str">
        <f>"9781802628906"</f>
        <v>9781802628906</v>
      </c>
      <c r="E194" t="s">
        <v>187</v>
      </c>
      <c r="F194" t="s">
        <v>187</v>
      </c>
      <c r="G194" s="1">
        <v>44473</v>
      </c>
      <c r="H194" s="1">
        <v>44587</v>
      </c>
      <c r="J194" t="s">
        <v>2406</v>
      </c>
      <c r="K194" t="s">
        <v>2407</v>
      </c>
      <c r="L194" t="s">
        <v>41</v>
      </c>
      <c r="M194" t="s">
        <v>2408</v>
      </c>
      <c r="N194">
        <v>338.92700000000002</v>
      </c>
      <c r="O194" t="s">
        <v>503</v>
      </c>
      <c r="P194" t="s">
        <v>18</v>
      </c>
    </row>
    <row r="195" spans="1:16" x14ac:dyDescent="0.35">
      <c r="A195">
        <v>6714050</v>
      </c>
      <c r="B195" t="s">
        <v>2409</v>
      </c>
      <c r="C195" t="str">
        <f>""</f>
        <v/>
      </c>
      <c r="D195" t="str">
        <f>"9781799861935"</f>
        <v>9781799861935</v>
      </c>
      <c r="E195" t="s">
        <v>138</v>
      </c>
      <c r="F195" t="s">
        <v>138</v>
      </c>
      <c r="G195" s="1">
        <v>44470</v>
      </c>
      <c r="H195" s="1">
        <v>44436</v>
      </c>
      <c r="K195" t="s">
        <v>2410</v>
      </c>
      <c r="L195" t="s">
        <v>38</v>
      </c>
      <c r="M195" t="s">
        <v>2411</v>
      </c>
      <c r="N195">
        <v>304.2</v>
      </c>
      <c r="O195" t="s">
        <v>2412</v>
      </c>
      <c r="P195" t="s">
        <v>18</v>
      </c>
    </row>
    <row r="196" spans="1:16" x14ac:dyDescent="0.35">
      <c r="A196">
        <v>6728389</v>
      </c>
      <c r="B196" t="s">
        <v>2413</v>
      </c>
      <c r="C196" t="str">
        <f>"9781666901788"</f>
        <v>9781666901788</v>
      </c>
      <c r="D196" t="str">
        <f>"9781666901795"</f>
        <v>9781666901795</v>
      </c>
      <c r="E196" t="s">
        <v>446</v>
      </c>
      <c r="F196" t="s">
        <v>446</v>
      </c>
      <c r="G196" s="1">
        <v>44470</v>
      </c>
      <c r="H196" s="1">
        <v>44457</v>
      </c>
      <c r="I196">
        <v>2</v>
      </c>
      <c r="J196" t="s">
        <v>211</v>
      </c>
      <c r="K196" t="s">
        <v>2414</v>
      </c>
      <c r="L196" t="s">
        <v>2415</v>
      </c>
      <c r="M196" t="s">
        <v>2416</v>
      </c>
      <c r="N196">
        <v>363.73874000000001</v>
      </c>
      <c r="O196" t="s">
        <v>2417</v>
      </c>
      <c r="P196" t="s">
        <v>18</v>
      </c>
    </row>
    <row r="197" spans="1:16" x14ac:dyDescent="0.35">
      <c r="A197">
        <v>6796766</v>
      </c>
      <c r="B197" t="s">
        <v>2418</v>
      </c>
      <c r="C197" t="str">
        <f>"9781527572133"</f>
        <v>9781527572133</v>
      </c>
      <c r="D197" t="str">
        <f>"9781527575691"</f>
        <v>9781527575691</v>
      </c>
      <c r="E197" t="s">
        <v>1662</v>
      </c>
      <c r="F197" t="s">
        <v>1662</v>
      </c>
      <c r="G197" s="1">
        <v>44470</v>
      </c>
      <c r="H197" s="1">
        <v>44502</v>
      </c>
      <c r="K197" t="s">
        <v>2419</v>
      </c>
      <c r="L197" t="s">
        <v>105</v>
      </c>
      <c r="M197" t="s">
        <v>2420</v>
      </c>
      <c r="N197">
        <v>363.7</v>
      </c>
      <c r="O197" t="s">
        <v>2421</v>
      </c>
      <c r="P197" t="s">
        <v>18</v>
      </c>
    </row>
    <row r="198" spans="1:16" x14ac:dyDescent="0.35">
      <c r="A198">
        <v>6636648</v>
      </c>
      <c r="B198" t="s">
        <v>2422</v>
      </c>
      <c r="C198" t="str">
        <f>"9781635574944"</f>
        <v>9781635574944</v>
      </c>
      <c r="D198" t="str">
        <f>"9781635574968"</f>
        <v>9781635574968</v>
      </c>
      <c r="E198" t="s">
        <v>539</v>
      </c>
      <c r="F198" t="s">
        <v>539</v>
      </c>
      <c r="G198" s="1">
        <v>44469</v>
      </c>
      <c r="H198" s="1">
        <v>44351</v>
      </c>
      <c r="K198" t="s">
        <v>2423</v>
      </c>
      <c r="L198" t="s">
        <v>2424</v>
      </c>
      <c r="M198" t="s">
        <v>2425</v>
      </c>
      <c r="N198">
        <v>333.95416</v>
      </c>
      <c r="O198" t="s">
        <v>2426</v>
      </c>
      <c r="P198" t="s">
        <v>18</v>
      </c>
    </row>
    <row r="199" spans="1:16" x14ac:dyDescent="0.35">
      <c r="A199">
        <v>6716727</v>
      </c>
      <c r="B199" t="s">
        <v>2427</v>
      </c>
      <c r="C199" t="str">
        <f>"9781793645043"</f>
        <v>9781793645043</v>
      </c>
      <c r="D199" t="str">
        <f>"9781793645050"</f>
        <v>9781793645050</v>
      </c>
      <c r="E199" t="s">
        <v>446</v>
      </c>
      <c r="F199" t="s">
        <v>446</v>
      </c>
      <c r="G199" s="1">
        <v>44469</v>
      </c>
      <c r="H199" s="1">
        <v>44442</v>
      </c>
      <c r="K199" t="s">
        <v>2428</v>
      </c>
      <c r="L199" t="s">
        <v>127</v>
      </c>
      <c r="M199" t="s">
        <v>2429</v>
      </c>
      <c r="N199">
        <v>306.484240973</v>
      </c>
      <c r="O199" t="s">
        <v>2430</v>
      </c>
      <c r="P199" t="s">
        <v>18</v>
      </c>
    </row>
    <row r="200" spans="1:16" x14ac:dyDescent="0.35">
      <c r="A200">
        <v>6733781</v>
      </c>
      <c r="B200" t="s">
        <v>2431</v>
      </c>
      <c r="C200" t="str">
        <f>"9783631853283"</f>
        <v>9783631853283</v>
      </c>
      <c r="D200" t="str">
        <f>"9783631854709"</f>
        <v>9783631854709</v>
      </c>
      <c r="E200" t="s">
        <v>2432</v>
      </c>
      <c r="F200" t="s">
        <v>2432</v>
      </c>
      <c r="G200" s="1">
        <v>44469</v>
      </c>
      <c r="H200" s="1">
        <v>44464</v>
      </c>
      <c r="I200">
        <v>1</v>
      </c>
      <c r="J200" t="s">
        <v>2433</v>
      </c>
      <c r="K200" t="s">
        <v>2434</v>
      </c>
      <c r="L200" t="s">
        <v>26</v>
      </c>
      <c r="N200" t="s">
        <v>2435</v>
      </c>
      <c r="P200" t="s">
        <v>18</v>
      </c>
    </row>
    <row r="201" spans="1:16" x14ac:dyDescent="0.35">
      <c r="A201">
        <v>6787944</v>
      </c>
      <c r="B201" t="s">
        <v>2436</v>
      </c>
      <c r="C201" t="str">
        <f>""</f>
        <v/>
      </c>
      <c r="D201" t="str">
        <f>"9781802629163"</f>
        <v>9781802629163</v>
      </c>
      <c r="E201" t="s">
        <v>187</v>
      </c>
      <c r="F201" t="s">
        <v>187</v>
      </c>
      <c r="G201" s="1">
        <v>44469</v>
      </c>
      <c r="H201" s="1">
        <v>44491</v>
      </c>
      <c r="J201" t="s">
        <v>2437</v>
      </c>
      <c r="K201" t="s">
        <v>2438</v>
      </c>
      <c r="L201" t="s">
        <v>422</v>
      </c>
      <c r="M201" t="s">
        <v>2439</v>
      </c>
      <c r="N201">
        <v>363.73874599999999</v>
      </c>
      <c r="O201" t="s">
        <v>2440</v>
      </c>
      <c r="P201" t="s">
        <v>18</v>
      </c>
    </row>
    <row r="202" spans="1:16" x14ac:dyDescent="0.35">
      <c r="A202">
        <v>6950121</v>
      </c>
      <c r="B202" t="s">
        <v>2441</v>
      </c>
      <c r="C202" t="str">
        <f>"9789264578999"</f>
        <v>9789264578999</v>
      </c>
      <c r="D202" t="str">
        <f>"9789264768796"</f>
        <v>9789264768796</v>
      </c>
      <c r="E202" t="s">
        <v>366</v>
      </c>
      <c r="F202" t="s">
        <v>201</v>
      </c>
      <c r="G202" s="1">
        <v>44466</v>
      </c>
      <c r="H202" s="1">
        <v>44663</v>
      </c>
      <c r="I202">
        <v>1</v>
      </c>
      <c r="K202" t="s">
        <v>201</v>
      </c>
      <c r="L202" t="s">
        <v>39</v>
      </c>
      <c r="M202" t="s">
        <v>2442</v>
      </c>
      <c r="N202">
        <v>330</v>
      </c>
      <c r="O202" t="s">
        <v>712</v>
      </c>
      <c r="P202" t="s">
        <v>18</v>
      </c>
    </row>
    <row r="203" spans="1:16" x14ac:dyDescent="0.35">
      <c r="A203">
        <v>6719240</v>
      </c>
      <c r="B203" t="s">
        <v>2443</v>
      </c>
      <c r="C203" t="str">
        <f>"9781799846468"</f>
        <v>9781799846468</v>
      </c>
      <c r="D203" t="str">
        <f>"9781799846475"</f>
        <v>9781799846475</v>
      </c>
      <c r="E203" t="s">
        <v>138</v>
      </c>
      <c r="F203" t="s">
        <v>1789</v>
      </c>
      <c r="G203" s="1">
        <v>44463</v>
      </c>
      <c r="H203" s="1">
        <v>44443</v>
      </c>
      <c r="K203" t="s">
        <v>2444</v>
      </c>
      <c r="L203" t="s">
        <v>89</v>
      </c>
      <c r="M203" t="s">
        <v>2445</v>
      </c>
      <c r="N203">
        <v>362.5</v>
      </c>
      <c r="O203" t="s">
        <v>2446</v>
      </c>
      <c r="P203" t="s">
        <v>18</v>
      </c>
    </row>
    <row r="204" spans="1:16" x14ac:dyDescent="0.35">
      <c r="A204">
        <v>6727095</v>
      </c>
      <c r="B204" t="s">
        <v>2447</v>
      </c>
      <c r="C204" t="str">
        <f>"9780323854054"</f>
        <v>9780323854054</v>
      </c>
      <c r="D204" t="str">
        <f>"9780323900706"</f>
        <v>9780323900706</v>
      </c>
      <c r="E204" t="s">
        <v>1699</v>
      </c>
      <c r="F204" t="s">
        <v>1699</v>
      </c>
      <c r="G204" s="1">
        <v>44463</v>
      </c>
      <c r="H204" s="1">
        <v>44455</v>
      </c>
      <c r="K204" t="s">
        <v>2448</v>
      </c>
      <c r="L204" t="s">
        <v>91</v>
      </c>
      <c r="M204" t="s">
        <v>2449</v>
      </c>
      <c r="N204">
        <v>620.11222999999995</v>
      </c>
      <c r="O204" t="s">
        <v>2450</v>
      </c>
      <c r="P204" t="s">
        <v>18</v>
      </c>
    </row>
    <row r="205" spans="1:16" x14ac:dyDescent="0.35">
      <c r="A205">
        <v>6733857</v>
      </c>
      <c r="B205" t="s">
        <v>2451</v>
      </c>
      <c r="C205" t="str">
        <f>"9780128242964"</f>
        <v>9780128242964</v>
      </c>
      <c r="D205" t="str">
        <f>"9780323859264"</f>
        <v>9780323859264</v>
      </c>
      <c r="E205" t="s">
        <v>190</v>
      </c>
      <c r="F205" t="s">
        <v>191</v>
      </c>
      <c r="G205" s="1">
        <v>44463</v>
      </c>
      <c r="H205" s="1">
        <v>44464</v>
      </c>
      <c r="K205" t="s">
        <v>2452</v>
      </c>
      <c r="L205" t="s">
        <v>343</v>
      </c>
      <c r="M205" t="s">
        <v>2453</v>
      </c>
      <c r="N205">
        <v>333.95616000000001</v>
      </c>
      <c r="O205" t="s">
        <v>2454</v>
      </c>
      <c r="P205" t="s">
        <v>18</v>
      </c>
    </row>
    <row r="206" spans="1:16" x14ac:dyDescent="0.35">
      <c r="A206">
        <v>6734852</v>
      </c>
      <c r="B206" t="s">
        <v>2455</v>
      </c>
      <c r="C206" t="str">
        <f>"9781800375123"</f>
        <v>9781800375123</v>
      </c>
      <c r="D206" t="str">
        <f>"9781800375130"</f>
        <v>9781800375130</v>
      </c>
      <c r="E206" t="s">
        <v>2080</v>
      </c>
      <c r="F206" t="s">
        <v>2080</v>
      </c>
      <c r="G206" s="1">
        <v>44463</v>
      </c>
      <c r="H206" s="1">
        <v>44467</v>
      </c>
      <c r="J206" t="s">
        <v>2456</v>
      </c>
      <c r="K206" t="s">
        <v>2457</v>
      </c>
      <c r="L206" t="s">
        <v>2458</v>
      </c>
      <c r="M206" t="s">
        <v>2459</v>
      </c>
      <c r="N206">
        <v>640.28599999999994</v>
      </c>
      <c r="O206" t="s">
        <v>2460</v>
      </c>
      <c r="P206" t="s">
        <v>18</v>
      </c>
    </row>
    <row r="207" spans="1:16" x14ac:dyDescent="0.35">
      <c r="A207">
        <v>6712949</v>
      </c>
      <c r="B207" t="s">
        <v>2461</v>
      </c>
      <c r="C207" t="str">
        <f>"9789004465879"</f>
        <v>9789004465879</v>
      </c>
      <c r="D207" t="str">
        <f>"9789004465886"</f>
        <v>9789004465886</v>
      </c>
      <c r="E207" t="s">
        <v>228</v>
      </c>
      <c r="F207" t="s">
        <v>228</v>
      </c>
      <c r="G207" s="1">
        <v>44462</v>
      </c>
      <c r="H207" s="1">
        <v>44435</v>
      </c>
      <c r="I207">
        <v>1</v>
      </c>
      <c r="J207" t="s">
        <v>2462</v>
      </c>
      <c r="K207" t="s">
        <v>2463</v>
      </c>
      <c r="L207" t="s">
        <v>23</v>
      </c>
      <c r="M207" t="s">
        <v>2464</v>
      </c>
      <c r="N207">
        <v>346.24092000000002</v>
      </c>
      <c r="O207" t="s">
        <v>2465</v>
      </c>
      <c r="P207" t="s">
        <v>18</v>
      </c>
    </row>
    <row r="208" spans="1:16" x14ac:dyDescent="0.35">
      <c r="A208">
        <v>6726358</v>
      </c>
      <c r="B208" t="s">
        <v>2466</v>
      </c>
      <c r="C208" t="str">
        <f>"9780323898706"</f>
        <v>9780323898706</v>
      </c>
      <c r="D208" t="str">
        <f>"9780323886321"</f>
        <v>9780323886321</v>
      </c>
      <c r="E208" t="s">
        <v>1699</v>
      </c>
      <c r="F208" t="s">
        <v>1699</v>
      </c>
      <c r="G208" s="1">
        <v>44461</v>
      </c>
      <c r="H208" s="1">
        <v>44454</v>
      </c>
      <c r="K208" t="s">
        <v>2467</v>
      </c>
      <c r="L208" t="s">
        <v>118</v>
      </c>
      <c r="M208" t="s">
        <v>2468</v>
      </c>
      <c r="N208">
        <v>660.02859999999998</v>
      </c>
      <c r="O208" t="s">
        <v>2469</v>
      </c>
      <c r="P208" t="s">
        <v>18</v>
      </c>
    </row>
    <row r="209" spans="1:16" x14ac:dyDescent="0.35">
      <c r="A209">
        <v>6726361</v>
      </c>
      <c r="B209" t="s">
        <v>2470</v>
      </c>
      <c r="C209" t="str">
        <f>"9780128198179"</f>
        <v>9780128198179</v>
      </c>
      <c r="D209" t="str">
        <f>"9780128203965"</f>
        <v>9780128203965</v>
      </c>
      <c r="E209" t="s">
        <v>1699</v>
      </c>
      <c r="F209" t="s">
        <v>1699</v>
      </c>
      <c r="G209" s="1">
        <v>44461</v>
      </c>
      <c r="H209" s="1">
        <v>44454</v>
      </c>
      <c r="K209" t="s">
        <v>2471</v>
      </c>
      <c r="L209" t="s">
        <v>26</v>
      </c>
      <c r="M209" t="s">
        <v>2472</v>
      </c>
      <c r="N209">
        <v>338.92700000000002</v>
      </c>
      <c r="O209" t="s">
        <v>2473</v>
      </c>
      <c r="P209" t="s">
        <v>18</v>
      </c>
    </row>
    <row r="210" spans="1:16" x14ac:dyDescent="0.35">
      <c r="A210">
        <v>6726364</v>
      </c>
      <c r="B210" t="s">
        <v>2474</v>
      </c>
      <c r="C210" t="str">
        <f>"9780128216644"</f>
        <v>9780128216644</v>
      </c>
      <c r="D210" t="str">
        <f>"9780128232361"</f>
        <v>9780128232361</v>
      </c>
      <c r="E210" t="s">
        <v>1699</v>
      </c>
      <c r="F210" t="s">
        <v>1699</v>
      </c>
      <c r="G210" s="1">
        <v>44461</v>
      </c>
      <c r="H210" s="1">
        <v>44454</v>
      </c>
      <c r="K210" t="s">
        <v>2471</v>
      </c>
      <c r="L210" t="s">
        <v>121</v>
      </c>
      <c r="M210" t="s">
        <v>2475</v>
      </c>
      <c r="N210">
        <v>628</v>
      </c>
      <c r="O210" t="s">
        <v>2476</v>
      </c>
      <c r="P210" t="s">
        <v>18</v>
      </c>
    </row>
    <row r="211" spans="1:16" x14ac:dyDescent="0.35">
      <c r="A211">
        <v>6728997</v>
      </c>
      <c r="B211" t="s">
        <v>2477</v>
      </c>
      <c r="C211" t="str">
        <f>"9780128192429"</f>
        <v>9780128192429</v>
      </c>
      <c r="D211" t="str">
        <f>"9780128192436"</f>
        <v>9780128192436</v>
      </c>
      <c r="E211" t="s">
        <v>1699</v>
      </c>
      <c r="F211" t="s">
        <v>1699</v>
      </c>
      <c r="G211" s="1">
        <v>44461</v>
      </c>
      <c r="H211" s="1">
        <v>44458</v>
      </c>
      <c r="K211" t="s">
        <v>2478</v>
      </c>
      <c r="L211" t="s">
        <v>118</v>
      </c>
      <c r="M211" t="s">
        <v>2479</v>
      </c>
      <c r="N211">
        <v>662.88</v>
      </c>
      <c r="O211" t="s">
        <v>421</v>
      </c>
      <c r="P211" t="s">
        <v>18</v>
      </c>
    </row>
    <row r="212" spans="1:16" x14ac:dyDescent="0.35">
      <c r="A212">
        <v>6729611</v>
      </c>
      <c r="B212" t="s">
        <v>2480</v>
      </c>
      <c r="C212" t="str">
        <f>"9780128213193"</f>
        <v>9780128213193</v>
      </c>
      <c r="D212" t="str">
        <f>"9780128232262"</f>
        <v>9780128232262</v>
      </c>
      <c r="E212" t="s">
        <v>190</v>
      </c>
      <c r="F212" t="s">
        <v>191</v>
      </c>
      <c r="G212" s="1">
        <v>44461</v>
      </c>
      <c r="H212" s="1">
        <v>44459</v>
      </c>
      <c r="K212" t="s">
        <v>2481</v>
      </c>
      <c r="L212" t="s">
        <v>263</v>
      </c>
      <c r="M212" t="s">
        <v>2482</v>
      </c>
      <c r="N212">
        <v>621.48</v>
      </c>
      <c r="O212" t="s">
        <v>2483</v>
      </c>
      <c r="P212" t="s">
        <v>18</v>
      </c>
    </row>
    <row r="213" spans="1:16" x14ac:dyDescent="0.35">
      <c r="A213">
        <v>6730106</v>
      </c>
      <c r="B213" t="s">
        <v>2484</v>
      </c>
      <c r="C213" t="str">
        <f>"9780128240380"</f>
        <v>9780128240380</v>
      </c>
      <c r="D213" t="str">
        <f>"9780128240397"</f>
        <v>9780128240397</v>
      </c>
      <c r="E213" t="s">
        <v>190</v>
      </c>
      <c r="F213" t="s">
        <v>191</v>
      </c>
      <c r="G213" s="1">
        <v>44461</v>
      </c>
      <c r="H213" s="1">
        <v>44460</v>
      </c>
      <c r="J213" t="s">
        <v>2126</v>
      </c>
      <c r="K213" t="s">
        <v>2485</v>
      </c>
      <c r="L213" t="s">
        <v>31</v>
      </c>
      <c r="M213" t="s">
        <v>2486</v>
      </c>
      <c r="N213">
        <v>363.7063028563</v>
      </c>
      <c r="O213" t="s">
        <v>2487</v>
      </c>
      <c r="P213" t="s">
        <v>18</v>
      </c>
    </row>
    <row r="214" spans="1:16" x14ac:dyDescent="0.35">
      <c r="A214">
        <v>6846006</v>
      </c>
      <c r="B214" t="s">
        <v>2488</v>
      </c>
      <c r="C214" t="str">
        <f>"9780128229767"</f>
        <v>9780128229767</v>
      </c>
      <c r="D214" t="str">
        <f>"9780128231128"</f>
        <v>9780128231128</v>
      </c>
      <c r="E214" t="s">
        <v>1699</v>
      </c>
      <c r="F214" t="s">
        <v>1699</v>
      </c>
      <c r="G214" s="1">
        <v>44460</v>
      </c>
      <c r="H214" s="1">
        <v>44570</v>
      </c>
      <c r="K214" t="s">
        <v>2489</v>
      </c>
      <c r="L214" t="s">
        <v>358</v>
      </c>
      <c r="M214" t="s">
        <v>2490</v>
      </c>
      <c r="N214">
        <v>333.72</v>
      </c>
      <c r="O214" t="s">
        <v>2491</v>
      </c>
      <c r="P214" t="s">
        <v>18</v>
      </c>
    </row>
    <row r="215" spans="1:16" x14ac:dyDescent="0.35">
      <c r="A215">
        <v>6734856</v>
      </c>
      <c r="B215" t="s">
        <v>2492</v>
      </c>
      <c r="C215" t="str">
        <f>"9781839109089"</f>
        <v>9781839109089</v>
      </c>
      <c r="D215" t="str">
        <f>"9781839109096"</f>
        <v>9781839109096</v>
      </c>
      <c r="E215" t="s">
        <v>2080</v>
      </c>
      <c r="F215" t="s">
        <v>2080</v>
      </c>
      <c r="G215" s="1">
        <v>44459</v>
      </c>
      <c r="H215" s="1">
        <v>44467</v>
      </c>
      <c r="K215" t="s">
        <v>2493</v>
      </c>
      <c r="L215" t="s">
        <v>2494</v>
      </c>
      <c r="M215" t="s">
        <v>2495</v>
      </c>
      <c r="N215">
        <v>363.73874599999999</v>
      </c>
      <c r="O215" t="s">
        <v>2496</v>
      </c>
      <c r="P215" t="s">
        <v>18</v>
      </c>
    </row>
    <row r="216" spans="1:16" x14ac:dyDescent="0.35">
      <c r="A216">
        <v>6719243</v>
      </c>
      <c r="B216" t="s">
        <v>2497</v>
      </c>
      <c r="C216" t="str">
        <f>"9781799880653"</f>
        <v>9781799880653</v>
      </c>
      <c r="D216" t="str">
        <f>"9781799880677"</f>
        <v>9781799880677</v>
      </c>
      <c r="E216" t="s">
        <v>138</v>
      </c>
      <c r="F216" t="s">
        <v>1769</v>
      </c>
      <c r="G216" s="1">
        <v>44456</v>
      </c>
      <c r="H216" s="1">
        <v>44443</v>
      </c>
      <c r="K216" t="s">
        <v>2498</v>
      </c>
      <c r="L216" t="s">
        <v>28</v>
      </c>
      <c r="M216" t="s">
        <v>2499</v>
      </c>
      <c r="N216" t="s">
        <v>54</v>
      </c>
      <c r="O216" t="s">
        <v>2272</v>
      </c>
      <c r="P216" t="s">
        <v>18</v>
      </c>
    </row>
    <row r="217" spans="1:16" x14ac:dyDescent="0.35">
      <c r="A217">
        <v>6727093</v>
      </c>
      <c r="B217" t="s">
        <v>2500</v>
      </c>
      <c r="C217" t="str">
        <f>"9780128222911"</f>
        <v>9780128222911</v>
      </c>
      <c r="D217" t="str">
        <f>"9780128222928"</f>
        <v>9780128222928</v>
      </c>
      <c r="E217" t="s">
        <v>190</v>
      </c>
      <c r="F217" t="s">
        <v>280</v>
      </c>
      <c r="G217" s="1">
        <v>44456</v>
      </c>
      <c r="H217" s="1">
        <v>44455</v>
      </c>
      <c r="J217" t="s">
        <v>486</v>
      </c>
      <c r="K217" t="s">
        <v>2501</v>
      </c>
      <c r="L217" t="s">
        <v>2502</v>
      </c>
      <c r="M217" t="s">
        <v>2503</v>
      </c>
      <c r="N217">
        <v>572.33000000000004</v>
      </c>
      <c r="O217" t="s">
        <v>2504</v>
      </c>
      <c r="P217" t="s">
        <v>18</v>
      </c>
    </row>
    <row r="218" spans="1:16" x14ac:dyDescent="0.35">
      <c r="A218">
        <v>6728996</v>
      </c>
      <c r="B218" t="s">
        <v>2505</v>
      </c>
      <c r="C218" t="str">
        <f>"9780128178256"</f>
        <v>9780128178256</v>
      </c>
      <c r="D218" t="str">
        <f>"9780128178263"</f>
        <v>9780128178263</v>
      </c>
      <c r="E218" t="s">
        <v>1699</v>
      </c>
      <c r="F218" t="s">
        <v>1699</v>
      </c>
      <c r="G218" s="1">
        <v>44456</v>
      </c>
      <c r="H218" s="1">
        <v>44457</v>
      </c>
      <c r="J218" t="s">
        <v>1737</v>
      </c>
      <c r="K218" t="s">
        <v>2506</v>
      </c>
      <c r="L218" t="s">
        <v>2507</v>
      </c>
      <c r="M218" t="s">
        <v>2508</v>
      </c>
      <c r="N218">
        <v>660.29949999999997</v>
      </c>
      <c r="O218" t="s">
        <v>2033</v>
      </c>
      <c r="P218" t="s">
        <v>18</v>
      </c>
    </row>
    <row r="219" spans="1:16" x14ac:dyDescent="0.35">
      <c r="A219">
        <v>6732864</v>
      </c>
      <c r="B219" t="s">
        <v>2509</v>
      </c>
      <c r="C219" t="str">
        <f>"9780323856515"</f>
        <v>9780323856515</v>
      </c>
      <c r="D219" t="str">
        <f>"9780323900102"</f>
        <v>9780323900102</v>
      </c>
      <c r="E219" t="s">
        <v>190</v>
      </c>
      <c r="F219" t="s">
        <v>280</v>
      </c>
      <c r="G219" s="1">
        <v>44456</v>
      </c>
      <c r="H219" s="1">
        <v>44462</v>
      </c>
      <c r="J219" t="s">
        <v>2510</v>
      </c>
      <c r="K219" t="s">
        <v>2511</v>
      </c>
      <c r="L219" t="s">
        <v>558</v>
      </c>
      <c r="M219" t="s">
        <v>2512</v>
      </c>
      <c r="N219">
        <v>677.00286000000006</v>
      </c>
      <c r="O219" t="s">
        <v>2513</v>
      </c>
      <c r="P219" t="s">
        <v>18</v>
      </c>
    </row>
    <row r="220" spans="1:16" x14ac:dyDescent="0.35">
      <c r="A220">
        <v>6735969</v>
      </c>
      <c r="B220" t="s">
        <v>2514</v>
      </c>
      <c r="C220" t="str">
        <f>"9783631863725"</f>
        <v>9783631863725</v>
      </c>
      <c r="D220" t="str">
        <f>"9783631864685"</f>
        <v>9783631864685</v>
      </c>
      <c r="E220" t="s">
        <v>2432</v>
      </c>
      <c r="F220" t="s">
        <v>2432</v>
      </c>
      <c r="G220" s="1">
        <v>44456</v>
      </c>
      <c r="H220" s="1">
        <v>44468</v>
      </c>
      <c r="I220">
        <v>1</v>
      </c>
      <c r="J220" t="s">
        <v>2515</v>
      </c>
      <c r="K220" t="s">
        <v>2516</v>
      </c>
      <c r="L220" t="s">
        <v>205</v>
      </c>
      <c r="P220" t="s">
        <v>18</v>
      </c>
    </row>
    <row r="221" spans="1:16" x14ac:dyDescent="0.35">
      <c r="A221">
        <v>6683001</v>
      </c>
      <c r="B221" t="s">
        <v>2517</v>
      </c>
      <c r="C221" t="str">
        <f>"9781642831436"</f>
        <v>9781642831436</v>
      </c>
      <c r="D221" t="str">
        <f>"9781642831443"</f>
        <v>9781642831443</v>
      </c>
      <c r="E221" t="s">
        <v>2154</v>
      </c>
      <c r="F221" t="s">
        <v>2154</v>
      </c>
      <c r="G221" s="1">
        <v>44455</v>
      </c>
      <c r="H221" s="1">
        <v>44403</v>
      </c>
      <c r="I221">
        <v>1</v>
      </c>
      <c r="K221" t="s">
        <v>2518</v>
      </c>
      <c r="L221" t="s">
        <v>510</v>
      </c>
      <c r="M221" t="s">
        <v>2519</v>
      </c>
      <c r="N221">
        <v>641.25</v>
      </c>
      <c r="P221" t="s">
        <v>18</v>
      </c>
    </row>
    <row r="222" spans="1:16" x14ac:dyDescent="0.35">
      <c r="A222">
        <v>6950103</v>
      </c>
      <c r="B222" t="s">
        <v>2520</v>
      </c>
      <c r="C222" t="str">
        <f>"9789264890541"</f>
        <v>9789264890541</v>
      </c>
      <c r="D222" t="str">
        <f>"9789264868076"</f>
        <v>9789264868076</v>
      </c>
      <c r="E222" t="s">
        <v>366</v>
      </c>
      <c r="F222" t="s">
        <v>201</v>
      </c>
      <c r="G222" s="1">
        <v>44454</v>
      </c>
      <c r="H222" s="1">
        <v>44663</v>
      </c>
      <c r="I222">
        <v>1</v>
      </c>
      <c r="K222" t="s">
        <v>201</v>
      </c>
      <c r="L222" t="s">
        <v>28</v>
      </c>
      <c r="P222" t="s">
        <v>18</v>
      </c>
    </row>
    <row r="223" spans="1:16" x14ac:dyDescent="0.35">
      <c r="A223">
        <v>6699205</v>
      </c>
      <c r="B223" t="s">
        <v>2521</v>
      </c>
      <c r="C223" t="str">
        <f>"9781799889007"</f>
        <v>9781799889007</v>
      </c>
      <c r="D223" t="str">
        <f>"9781799889021"</f>
        <v>9781799889021</v>
      </c>
      <c r="E223" t="s">
        <v>138</v>
      </c>
      <c r="F223" t="s">
        <v>1764</v>
      </c>
      <c r="G223" s="1">
        <v>44449</v>
      </c>
      <c r="H223" s="1">
        <v>44422</v>
      </c>
      <c r="K223" t="s">
        <v>2522</v>
      </c>
      <c r="L223" t="s">
        <v>31</v>
      </c>
      <c r="M223" t="s">
        <v>2523</v>
      </c>
      <c r="N223">
        <v>363.7</v>
      </c>
      <c r="O223" t="s">
        <v>243</v>
      </c>
      <c r="P223" t="s">
        <v>18</v>
      </c>
    </row>
    <row r="224" spans="1:16" x14ac:dyDescent="0.35">
      <c r="A224">
        <v>6707718</v>
      </c>
      <c r="B224" t="s">
        <v>2524</v>
      </c>
      <c r="C224" t="str">
        <f>"9781799873396"</f>
        <v>9781799873396</v>
      </c>
      <c r="D224" t="str">
        <f>"9781799873426"</f>
        <v>9781799873426</v>
      </c>
      <c r="E224" t="s">
        <v>138</v>
      </c>
      <c r="F224" t="s">
        <v>1769</v>
      </c>
      <c r="G224" s="1">
        <v>44449</v>
      </c>
      <c r="H224" s="1">
        <v>44428</v>
      </c>
      <c r="K224" t="s">
        <v>2525</v>
      </c>
      <c r="L224" t="s">
        <v>271</v>
      </c>
      <c r="M224" t="s">
        <v>2526</v>
      </c>
      <c r="N224">
        <v>910.68399999999997</v>
      </c>
      <c r="O224" t="s">
        <v>2527</v>
      </c>
      <c r="P224" t="s">
        <v>18</v>
      </c>
    </row>
    <row r="225" spans="1:16" x14ac:dyDescent="0.35">
      <c r="A225">
        <v>6717696</v>
      </c>
      <c r="B225" t="s">
        <v>2528</v>
      </c>
      <c r="C225" t="str">
        <f>"9780128233061"</f>
        <v>9780128233061</v>
      </c>
      <c r="D225" t="str">
        <f>"9780128234204"</f>
        <v>9780128234204</v>
      </c>
      <c r="E225" t="s">
        <v>1699</v>
      </c>
      <c r="F225" t="s">
        <v>1699</v>
      </c>
      <c r="G225" s="1">
        <v>44448</v>
      </c>
      <c r="H225" s="1">
        <v>44442</v>
      </c>
      <c r="K225" t="s">
        <v>2529</v>
      </c>
      <c r="L225" t="s">
        <v>76</v>
      </c>
      <c r="M225" t="s">
        <v>2530</v>
      </c>
      <c r="N225">
        <v>662.88</v>
      </c>
      <c r="O225" t="s">
        <v>2531</v>
      </c>
      <c r="P225" t="s">
        <v>18</v>
      </c>
    </row>
    <row r="226" spans="1:16" x14ac:dyDescent="0.35">
      <c r="A226">
        <v>6734834</v>
      </c>
      <c r="B226" t="s">
        <v>2532</v>
      </c>
      <c r="C226" t="str">
        <f>"9781839104381"</f>
        <v>9781839104381</v>
      </c>
      <c r="D226" t="str">
        <f>"9781839104398"</f>
        <v>9781839104398</v>
      </c>
      <c r="E226" t="s">
        <v>2080</v>
      </c>
      <c r="F226" t="s">
        <v>2080</v>
      </c>
      <c r="G226" s="1">
        <v>44446</v>
      </c>
      <c r="H226" s="1">
        <v>44467</v>
      </c>
      <c r="K226" t="s">
        <v>2533</v>
      </c>
      <c r="L226" t="s">
        <v>28</v>
      </c>
      <c r="M226" t="s">
        <v>2534</v>
      </c>
      <c r="N226">
        <v>658.05629999999996</v>
      </c>
      <c r="O226" t="s">
        <v>2535</v>
      </c>
      <c r="P226" t="s">
        <v>18</v>
      </c>
    </row>
    <row r="227" spans="1:16" x14ac:dyDescent="0.35">
      <c r="A227">
        <v>6739283</v>
      </c>
      <c r="B227" t="s">
        <v>2536</v>
      </c>
      <c r="C227" t="str">
        <f>""</f>
        <v/>
      </c>
      <c r="D227" t="str">
        <f>"9783110596274"</f>
        <v>9783110596274</v>
      </c>
      <c r="E227" t="s">
        <v>404</v>
      </c>
      <c r="F227" t="s">
        <v>404</v>
      </c>
      <c r="G227" s="1">
        <v>44446</v>
      </c>
      <c r="H227" s="1">
        <v>44473</v>
      </c>
      <c r="K227" t="s">
        <v>2537</v>
      </c>
      <c r="L227" t="s">
        <v>118</v>
      </c>
      <c r="M227" t="s">
        <v>2538</v>
      </c>
      <c r="N227">
        <v>665.81</v>
      </c>
      <c r="O227" t="s">
        <v>2539</v>
      </c>
      <c r="P227" t="s">
        <v>18</v>
      </c>
    </row>
    <row r="228" spans="1:16" x14ac:dyDescent="0.35">
      <c r="A228">
        <v>6739325</v>
      </c>
      <c r="B228" t="s">
        <v>2540</v>
      </c>
      <c r="C228" t="str">
        <f>""</f>
        <v/>
      </c>
      <c r="D228" t="str">
        <f>"9783110596281"</f>
        <v>9783110596281</v>
      </c>
      <c r="E228" t="s">
        <v>404</v>
      </c>
      <c r="F228" t="s">
        <v>404</v>
      </c>
      <c r="G228" s="1">
        <v>44446</v>
      </c>
      <c r="H228" s="1">
        <v>44473</v>
      </c>
      <c r="K228" t="s">
        <v>2537</v>
      </c>
      <c r="L228" t="s">
        <v>76</v>
      </c>
      <c r="M228" t="s">
        <v>2541</v>
      </c>
      <c r="N228">
        <v>665.81</v>
      </c>
      <c r="O228" t="s">
        <v>2539</v>
      </c>
      <c r="P228" t="s">
        <v>18</v>
      </c>
    </row>
    <row r="229" spans="1:16" x14ac:dyDescent="0.35">
      <c r="A229">
        <v>6708523</v>
      </c>
      <c r="B229" t="s">
        <v>2542</v>
      </c>
      <c r="C229" t="str">
        <f>"9781800719309"</f>
        <v>9781800719309</v>
      </c>
      <c r="D229" t="str">
        <f>"9781800719316"</f>
        <v>9781800719316</v>
      </c>
      <c r="E229" t="s">
        <v>187</v>
      </c>
      <c r="F229" t="s">
        <v>187</v>
      </c>
      <c r="G229" s="1">
        <v>44445</v>
      </c>
      <c r="H229" s="1">
        <v>44431</v>
      </c>
      <c r="J229" t="s">
        <v>2543</v>
      </c>
      <c r="K229" t="s">
        <v>2544</v>
      </c>
      <c r="L229" t="s">
        <v>28</v>
      </c>
      <c r="M229" t="s">
        <v>2545</v>
      </c>
      <c r="N229" t="s">
        <v>54</v>
      </c>
      <c r="O229" t="s">
        <v>2546</v>
      </c>
      <c r="P229" t="s">
        <v>18</v>
      </c>
    </row>
    <row r="230" spans="1:16" x14ac:dyDescent="0.35">
      <c r="A230">
        <v>6708526</v>
      </c>
      <c r="B230" t="s">
        <v>2547</v>
      </c>
      <c r="C230" t="str">
        <f>"9781800713352"</f>
        <v>9781800713352</v>
      </c>
      <c r="D230" t="str">
        <f>"9781800713345"</f>
        <v>9781800713345</v>
      </c>
      <c r="E230" t="s">
        <v>187</v>
      </c>
      <c r="F230" t="s">
        <v>187</v>
      </c>
      <c r="G230" s="1">
        <v>44445</v>
      </c>
      <c r="H230" s="1">
        <v>44431</v>
      </c>
      <c r="J230" t="s">
        <v>2548</v>
      </c>
      <c r="K230" t="s">
        <v>2549</v>
      </c>
      <c r="L230" t="s">
        <v>26</v>
      </c>
      <c r="M230" t="s">
        <v>252</v>
      </c>
      <c r="N230">
        <v>338.47910000000002</v>
      </c>
      <c r="O230" t="s">
        <v>2550</v>
      </c>
      <c r="P230" t="s">
        <v>18</v>
      </c>
    </row>
    <row r="231" spans="1:16" x14ac:dyDescent="0.35">
      <c r="A231">
        <v>6715962</v>
      </c>
      <c r="B231" t="s">
        <v>2551</v>
      </c>
      <c r="C231" t="str">
        <f>"9780323910934"</f>
        <v>9780323910934</v>
      </c>
      <c r="D231" t="str">
        <f>"9780323919517"</f>
        <v>9780323919517</v>
      </c>
      <c r="E231" t="s">
        <v>190</v>
      </c>
      <c r="F231" t="s">
        <v>191</v>
      </c>
      <c r="G231" s="1">
        <v>44445</v>
      </c>
      <c r="H231" s="1">
        <v>44440</v>
      </c>
      <c r="J231" t="s">
        <v>2552</v>
      </c>
      <c r="K231" t="s">
        <v>2553</v>
      </c>
      <c r="L231" t="s">
        <v>169</v>
      </c>
      <c r="M231" t="s">
        <v>2554</v>
      </c>
      <c r="N231">
        <v>660.28423499999997</v>
      </c>
      <c r="O231" t="s">
        <v>2555</v>
      </c>
      <c r="P231" t="s">
        <v>18</v>
      </c>
    </row>
    <row r="232" spans="1:16" x14ac:dyDescent="0.35">
      <c r="A232">
        <v>6724518</v>
      </c>
      <c r="B232" t="s">
        <v>2556</v>
      </c>
      <c r="C232" t="str">
        <f>"9789814998314"</f>
        <v>9789814998314</v>
      </c>
      <c r="D232" t="str">
        <f>"9789814998307"</f>
        <v>9789814998307</v>
      </c>
      <c r="E232" t="s">
        <v>475</v>
      </c>
      <c r="F232" t="s">
        <v>475</v>
      </c>
      <c r="G232" s="1">
        <v>44441</v>
      </c>
      <c r="H232" s="1">
        <v>44450</v>
      </c>
      <c r="I232">
        <v>1</v>
      </c>
      <c r="K232" t="s">
        <v>2557</v>
      </c>
      <c r="L232" t="s">
        <v>2558</v>
      </c>
      <c r="M232" t="s">
        <v>2559</v>
      </c>
      <c r="N232">
        <v>615.19000000000005</v>
      </c>
      <c r="O232" t="s">
        <v>2560</v>
      </c>
      <c r="P232" t="s">
        <v>18</v>
      </c>
    </row>
    <row r="233" spans="1:16" x14ac:dyDescent="0.35">
      <c r="A233">
        <v>6724524</v>
      </c>
      <c r="B233" t="s">
        <v>2561</v>
      </c>
      <c r="C233" t="str">
        <f>"9789814998284"</f>
        <v>9789814998284</v>
      </c>
      <c r="D233" t="str">
        <f>"9789814998277"</f>
        <v>9789814998277</v>
      </c>
      <c r="E233" t="s">
        <v>475</v>
      </c>
      <c r="F233" t="s">
        <v>475</v>
      </c>
      <c r="G233" s="1">
        <v>44441</v>
      </c>
      <c r="H233" s="1">
        <v>44450</v>
      </c>
      <c r="I233">
        <v>1</v>
      </c>
      <c r="K233" t="s">
        <v>2557</v>
      </c>
      <c r="L233" t="s">
        <v>2562</v>
      </c>
      <c r="M233" t="s">
        <v>2563</v>
      </c>
      <c r="N233">
        <v>577.14</v>
      </c>
      <c r="O233" t="s">
        <v>2560</v>
      </c>
      <c r="P233" t="s">
        <v>18</v>
      </c>
    </row>
    <row r="234" spans="1:16" x14ac:dyDescent="0.35">
      <c r="A234">
        <v>6734559</v>
      </c>
      <c r="B234" t="s">
        <v>2564</v>
      </c>
      <c r="C234" t="str">
        <f>"9789086863679"</f>
        <v>9789086863679</v>
      </c>
      <c r="D234" t="str">
        <f>"9789086869190"</f>
        <v>9789086869190</v>
      </c>
      <c r="E234" t="s">
        <v>2565</v>
      </c>
      <c r="F234" t="s">
        <v>2565</v>
      </c>
      <c r="G234" s="1">
        <v>44440</v>
      </c>
      <c r="H234" s="1">
        <v>44467</v>
      </c>
      <c r="I234">
        <v>1</v>
      </c>
      <c r="K234" t="s">
        <v>2566</v>
      </c>
      <c r="L234" t="s">
        <v>42</v>
      </c>
      <c r="P234" t="s">
        <v>411</v>
      </c>
    </row>
    <row r="235" spans="1:16" x14ac:dyDescent="0.35">
      <c r="A235">
        <v>6803397</v>
      </c>
      <c r="B235" t="s">
        <v>2567</v>
      </c>
      <c r="C235" t="str">
        <f>"9781527571778"</f>
        <v>9781527571778</v>
      </c>
      <c r="D235" t="str">
        <f>"9781527576612"</f>
        <v>9781527576612</v>
      </c>
      <c r="E235" t="s">
        <v>1662</v>
      </c>
      <c r="F235" t="s">
        <v>1662</v>
      </c>
      <c r="G235" s="1">
        <v>44440</v>
      </c>
      <c r="H235" s="1">
        <v>44513</v>
      </c>
      <c r="K235" t="s">
        <v>2568</v>
      </c>
      <c r="L235" t="s">
        <v>2569</v>
      </c>
      <c r="M235" t="s">
        <v>2570</v>
      </c>
      <c r="N235">
        <v>372.35700000000003</v>
      </c>
      <c r="O235" t="s">
        <v>2571</v>
      </c>
      <c r="P235" t="s">
        <v>18</v>
      </c>
    </row>
    <row r="236" spans="1:16" x14ac:dyDescent="0.35">
      <c r="A236">
        <v>6683028</v>
      </c>
      <c r="B236" t="s">
        <v>2572</v>
      </c>
      <c r="C236" t="str">
        <f>"9781509917372"</f>
        <v>9781509917372</v>
      </c>
      <c r="D236" t="str">
        <f>"9781509917389"</f>
        <v>9781509917389</v>
      </c>
      <c r="E236" t="s">
        <v>354</v>
      </c>
      <c r="F236" t="s">
        <v>294</v>
      </c>
      <c r="G236" s="1">
        <v>44434</v>
      </c>
      <c r="H236" s="1">
        <v>44403</v>
      </c>
      <c r="K236" t="s">
        <v>2573</v>
      </c>
      <c r="L236" t="s">
        <v>23</v>
      </c>
      <c r="M236" t="s">
        <v>2574</v>
      </c>
      <c r="N236">
        <v>341.762</v>
      </c>
      <c r="O236" t="s">
        <v>2575</v>
      </c>
      <c r="P236" t="s">
        <v>18</v>
      </c>
    </row>
    <row r="237" spans="1:16" x14ac:dyDescent="0.35">
      <c r="A237">
        <v>6712534</v>
      </c>
      <c r="B237" t="s">
        <v>2576</v>
      </c>
      <c r="C237" t="str">
        <f>"9780128240441"</f>
        <v>9780128240441</v>
      </c>
      <c r="D237" t="str">
        <f>"9780128242605"</f>
        <v>9780128242605</v>
      </c>
      <c r="E237" t="s">
        <v>190</v>
      </c>
      <c r="F237" t="s">
        <v>191</v>
      </c>
      <c r="G237" s="1">
        <v>44434</v>
      </c>
      <c r="H237" s="1">
        <v>44434</v>
      </c>
      <c r="K237" t="s">
        <v>2099</v>
      </c>
      <c r="L237" t="s">
        <v>2577</v>
      </c>
      <c r="M237" t="s">
        <v>2578</v>
      </c>
      <c r="N237">
        <v>664.08</v>
      </c>
      <c r="O237" t="s">
        <v>2579</v>
      </c>
      <c r="P237" t="s">
        <v>18</v>
      </c>
    </row>
    <row r="238" spans="1:16" x14ac:dyDescent="0.35">
      <c r="A238">
        <v>6707816</v>
      </c>
      <c r="B238" t="s">
        <v>2580</v>
      </c>
      <c r="C238" t="str">
        <f>"9780128129883"</f>
        <v>9780128129883</v>
      </c>
      <c r="D238" t="str">
        <f>"9780128129890"</f>
        <v>9780128129890</v>
      </c>
      <c r="E238" t="s">
        <v>1699</v>
      </c>
      <c r="F238" t="s">
        <v>1699</v>
      </c>
      <c r="G238" s="1">
        <v>44433</v>
      </c>
      <c r="H238" s="1">
        <v>44428</v>
      </c>
      <c r="K238" t="s">
        <v>2581</v>
      </c>
      <c r="L238" t="s">
        <v>105</v>
      </c>
      <c r="M238" t="s">
        <v>2582</v>
      </c>
      <c r="N238">
        <v>363.70526000000001</v>
      </c>
      <c r="O238" t="s">
        <v>2583</v>
      </c>
      <c r="P238" t="s">
        <v>18</v>
      </c>
    </row>
    <row r="239" spans="1:16" x14ac:dyDescent="0.35">
      <c r="A239">
        <v>6708471</v>
      </c>
      <c r="B239" t="s">
        <v>2584</v>
      </c>
      <c r="C239" t="str">
        <f>"9780128231371"</f>
        <v>9780128231371</v>
      </c>
      <c r="D239" t="str">
        <f>"9780128236154"</f>
        <v>9780128236154</v>
      </c>
      <c r="E239" t="s">
        <v>1699</v>
      </c>
      <c r="F239" t="s">
        <v>1699</v>
      </c>
      <c r="G239" s="1">
        <v>44433</v>
      </c>
      <c r="H239" s="1">
        <v>44430</v>
      </c>
      <c r="J239" t="s">
        <v>2287</v>
      </c>
      <c r="K239" t="s">
        <v>2585</v>
      </c>
      <c r="L239" t="s">
        <v>171</v>
      </c>
      <c r="M239" t="s">
        <v>2586</v>
      </c>
      <c r="N239">
        <v>620.11502859999996</v>
      </c>
      <c r="O239" t="s">
        <v>2587</v>
      </c>
      <c r="P239" t="s">
        <v>18</v>
      </c>
    </row>
    <row r="240" spans="1:16" x14ac:dyDescent="0.35">
      <c r="A240">
        <v>6707815</v>
      </c>
      <c r="B240" t="s">
        <v>2588</v>
      </c>
      <c r="C240" t="str">
        <f>"9780128215920"</f>
        <v>9780128215920</v>
      </c>
      <c r="D240" t="str">
        <f>"9780128215937"</f>
        <v>9780128215937</v>
      </c>
      <c r="E240" t="s">
        <v>1699</v>
      </c>
      <c r="F240" t="s">
        <v>1699</v>
      </c>
      <c r="G240" s="1">
        <v>44431</v>
      </c>
      <c r="H240" s="1">
        <v>44428</v>
      </c>
      <c r="J240" t="s">
        <v>2589</v>
      </c>
      <c r="K240" t="s">
        <v>2590</v>
      </c>
      <c r="L240" t="s">
        <v>264</v>
      </c>
      <c r="M240" t="s">
        <v>2591</v>
      </c>
      <c r="N240">
        <v>621.47</v>
      </c>
      <c r="O240" t="s">
        <v>2592</v>
      </c>
      <c r="P240" t="s">
        <v>18</v>
      </c>
    </row>
    <row r="241" spans="1:16" x14ac:dyDescent="0.35">
      <c r="A241">
        <v>6739380</v>
      </c>
      <c r="B241" t="s">
        <v>2593</v>
      </c>
      <c r="C241" t="str">
        <f>""</f>
        <v/>
      </c>
      <c r="D241" t="str">
        <f>"9783110740479"</f>
        <v>9783110740479</v>
      </c>
      <c r="E241" t="s">
        <v>404</v>
      </c>
      <c r="F241" t="s">
        <v>404</v>
      </c>
      <c r="G241" s="1">
        <v>44431</v>
      </c>
      <c r="H241" s="1">
        <v>44473</v>
      </c>
      <c r="J241" t="s">
        <v>2594</v>
      </c>
      <c r="K241" t="s">
        <v>2595</v>
      </c>
      <c r="L241" t="s">
        <v>46</v>
      </c>
      <c r="P241" t="s">
        <v>315</v>
      </c>
    </row>
    <row r="242" spans="1:16" x14ac:dyDescent="0.35">
      <c r="A242">
        <v>6700219</v>
      </c>
      <c r="B242" t="s">
        <v>2596</v>
      </c>
      <c r="C242" t="str">
        <f>"9780323857697"</f>
        <v>9780323857697</v>
      </c>
      <c r="D242" t="str">
        <f>"9780323856478"</f>
        <v>9780323856478</v>
      </c>
      <c r="E242" t="s">
        <v>190</v>
      </c>
      <c r="F242" t="s">
        <v>191</v>
      </c>
      <c r="G242" s="1">
        <v>44426</v>
      </c>
      <c r="H242" s="1">
        <v>44423</v>
      </c>
      <c r="J242" t="s">
        <v>2126</v>
      </c>
      <c r="K242" t="s">
        <v>2597</v>
      </c>
      <c r="L242" t="s">
        <v>2598</v>
      </c>
      <c r="M242" t="s">
        <v>2599</v>
      </c>
      <c r="N242">
        <v>6.3</v>
      </c>
      <c r="O242" t="s">
        <v>2600</v>
      </c>
      <c r="P242" t="s">
        <v>18</v>
      </c>
    </row>
    <row r="243" spans="1:16" x14ac:dyDescent="0.35">
      <c r="A243">
        <v>6915625</v>
      </c>
      <c r="B243" t="s">
        <v>2601</v>
      </c>
      <c r="C243" t="str">
        <f>"9789264723580"</f>
        <v>9789264723580</v>
      </c>
      <c r="D243" t="str">
        <f>"9789264906129"</f>
        <v>9789264906129</v>
      </c>
      <c r="E243" t="s">
        <v>366</v>
      </c>
      <c r="F243" t="s">
        <v>201</v>
      </c>
      <c r="G243" s="1">
        <v>44426</v>
      </c>
      <c r="H243" s="1">
        <v>44632</v>
      </c>
      <c r="I243">
        <v>1</v>
      </c>
      <c r="K243" t="s">
        <v>201</v>
      </c>
      <c r="L243" t="s">
        <v>33</v>
      </c>
      <c r="P243" t="s">
        <v>18</v>
      </c>
    </row>
    <row r="244" spans="1:16" x14ac:dyDescent="0.35">
      <c r="A244">
        <v>6708263</v>
      </c>
      <c r="B244" t="s">
        <v>2602</v>
      </c>
      <c r="C244" t="str">
        <f>"9781800370500"</f>
        <v>9781800370500</v>
      </c>
      <c r="D244" t="str">
        <f>"9781800370517"</f>
        <v>9781800370517</v>
      </c>
      <c r="E244" t="s">
        <v>2080</v>
      </c>
      <c r="F244" t="s">
        <v>2080</v>
      </c>
      <c r="G244" s="1">
        <v>44421</v>
      </c>
      <c r="H244" s="1">
        <v>44429</v>
      </c>
      <c r="J244" t="s">
        <v>2603</v>
      </c>
      <c r="K244" t="s">
        <v>2604</v>
      </c>
      <c r="L244" t="s">
        <v>28</v>
      </c>
      <c r="M244" t="s">
        <v>2605</v>
      </c>
      <c r="N244">
        <v>388.4</v>
      </c>
      <c r="O244" t="s">
        <v>2606</v>
      </c>
      <c r="P244" t="s">
        <v>18</v>
      </c>
    </row>
    <row r="245" spans="1:16" x14ac:dyDescent="0.35">
      <c r="A245">
        <v>6708270</v>
      </c>
      <c r="B245" t="s">
        <v>2607</v>
      </c>
      <c r="C245" t="str">
        <f>"9781788976022"</f>
        <v>9781788976022</v>
      </c>
      <c r="D245" t="str">
        <f>"9781788976039"</f>
        <v>9781788976039</v>
      </c>
      <c r="E245" t="s">
        <v>2080</v>
      </c>
      <c r="F245" t="s">
        <v>2080</v>
      </c>
      <c r="G245" s="1">
        <v>44421</v>
      </c>
      <c r="H245" s="1">
        <v>44429</v>
      </c>
      <c r="J245" t="s">
        <v>2608</v>
      </c>
      <c r="K245" t="s">
        <v>2609</v>
      </c>
      <c r="L245" t="s">
        <v>23</v>
      </c>
      <c r="M245" t="s">
        <v>2610</v>
      </c>
      <c r="N245">
        <v>344.04599999999999</v>
      </c>
      <c r="O245" t="s">
        <v>2611</v>
      </c>
      <c r="P245" t="s">
        <v>18</v>
      </c>
    </row>
    <row r="246" spans="1:16" x14ac:dyDescent="0.35">
      <c r="A246">
        <v>6708278</v>
      </c>
      <c r="B246" t="s">
        <v>2612</v>
      </c>
      <c r="C246" t="str">
        <f>"9781800888500"</f>
        <v>9781800888500</v>
      </c>
      <c r="D246" t="str">
        <f>"9781800888517"</f>
        <v>9781800888517</v>
      </c>
      <c r="E246" t="s">
        <v>2080</v>
      </c>
      <c r="F246" t="s">
        <v>2080</v>
      </c>
      <c r="G246" s="1">
        <v>44421</v>
      </c>
      <c r="H246" s="1">
        <v>44429</v>
      </c>
      <c r="J246" t="s">
        <v>2613</v>
      </c>
      <c r="K246" t="s">
        <v>2614</v>
      </c>
      <c r="L246" t="s">
        <v>2615</v>
      </c>
      <c r="M246" t="s">
        <v>2616</v>
      </c>
      <c r="N246">
        <v>336.27833370000002</v>
      </c>
      <c r="O246" t="s">
        <v>2617</v>
      </c>
      <c r="P246" t="s">
        <v>18</v>
      </c>
    </row>
    <row r="247" spans="1:16" x14ac:dyDescent="0.35">
      <c r="A247">
        <v>6637380</v>
      </c>
      <c r="B247" t="s">
        <v>2618</v>
      </c>
      <c r="C247" t="str">
        <f>""</f>
        <v/>
      </c>
      <c r="D247" t="str">
        <f>"9781350112896"</f>
        <v>9781350112896</v>
      </c>
      <c r="E247" t="s">
        <v>539</v>
      </c>
      <c r="F247" t="s">
        <v>540</v>
      </c>
      <c r="G247" s="1">
        <v>44420</v>
      </c>
      <c r="H247" s="1">
        <v>44353</v>
      </c>
      <c r="K247" t="s">
        <v>2619</v>
      </c>
      <c r="L247" t="s">
        <v>25</v>
      </c>
      <c r="M247" t="s">
        <v>2620</v>
      </c>
      <c r="N247">
        <v>155.94200000000001</v>
      </c>
      <c r="O247" t="s">
        <v>2621</v>
      </c>
      <c r="P247" t="s">
        <v>18</v>
      </c>
    </row>
    <row r="248" spans="1:16" x14ac:dyDescent="0.35">
      <c r="A248">
        <v>6692319</v>
      </c>
      <c r="B248" t="s">
        <v>2622</v>
      </c>
      <c r="C248" t="str">
        <f>"9780128239872"</f>
        <v>9780128239872</v>
      </c>
      <c r="D248" t="str">
        <f>"9780128242407"</f>
        <v>9780128242407</v>
      </c>
      <c r="E248" t="s">
        <v>1699</v>
      </c>
      <c r="F248" t="s">
        <v>1699</v>
      </c>
      <c r="G248" s="1">
        <v>44420</v>
      </c>
      <c r="H248" s="1">
        <v>44417</v>
      </c>
      <c r="K248" t="s">
        <v>2623</v>
      </c>
      <c r="L248" t="s">
        <v>89</v>
      </c>
      <c r="M248" t="s">
        <v>2624</v>
      </c>
      <c r="N248">
        <v>304.2</v>
      </c>
      <c r="O248" t="s">
        <v>2625</v>
      </c>
      <c r="P248" t="s">
        <v>18</v>
      </c>
    </row>
    <row r="249" spans="1:16" x14ac:dyDescent="0.35">
      <c r="A249">
        <v>6692321</v>
      </c>
      <c r="B249" t="s">
        <v>2626</v>
      </c>
      <c r="C249" t="str">
        <f>"9780128212332"</f>
        <v>9780128212332</v>
      </c>
      <c r="D249" t="str">
        <f>"9780128232200"</f>
        <v>9780128232200</v>
      </c>
      <c r="E249" t="s">
        <v>190</v>
      </c>
      <c r="F249" t="s">
        <v>191</v>
      </c>
      <c r="G249" s="1">
        <v>44420</v>
      </c>
      <c r="H249" s="1">
        <v>44417</v>
      </c>
      <c r="K249" t="s">
        <v>2627</v>
      </c>
      <c r="L249" t="s">
        <v>2628</v>
      </c>
      <c r="M249" t="s">
        <v>2629</v>
      </c>
      <c r="N249">
        <v>338.19</v>
      </c>
      <c r="O249" t="s">
        <v>2630</v>
      </c>
      <c r="P249" t="s">
        <v>18</v>
      </c>
    </row>
    <row r="250" spans="1:16" x14ac:dyDescent="0.35">
      <c r="A250">
        <v>6708279</v>
      </c>
      <c r="B250" t="s">
        <v>2631</v>
      </c>
      <c r="C250" t="str">
        <f>"9781789908527"</f>
        <v>9781789908527</v>
      </c>
      <c r="D250" t="str">
        <f>"9781789908534"</f>
        <v>9781789908534</v>
      </c>
      <c r="E250" t="s">
        <v>2080</v>
      </c>
      <c r="F250" t="s">
        <v>2080</v>
      </c>
      <c r="G250" s="1">
        <v>44418</v>
      </c>
      <c r="H250" s="1">
        <v>44429</v>
      </c>
      <c r="J250" t="s">
        <v>2632</v>
      </c>
      <c r="K250" t="s">
        <v>2633</v>
      </c>
      <c r="L250" t="s">
        <v>23</v>
      </c>
      <c r="M250" t="s">
        <v>2634</v>
      </c>
      <c r="N250">
        <v>344.04599999999999</v>
      </c>
      <c r="O250" t="s">
        <v>2635</v>
      </c>
      <c r="P250" t="s">
        <v>18</v>
      </c>
    </row>
    <row r="251" spans="1:16" x14ac:dyDescent="0.35">
      <c r="A251">
        <v>6699206</v>
      </c>
      <c r="B251" t="s">
        <v>2636</v>
      </c>
      <c r="C251" t="str">
        <f>"9781799848431"</f>
        <v>9781799848431</v>
      </c>
      <c r="D251" t="str">
        <f>"9781799848448"</f>
        <v>9781799848448</v>
      </c>
      <c r="E251" t="s">
        <v>138</v>
      </c>
      <c r="F251" t="s">
        <v>1769</v>
      </c>
      <c r="G251" s="1">
        <v>44414</v>
      </c>
      <c r="H251" s="1">
        <v>44422</v>
      </c>
      <c r="K251" t="s">
        <v>2637</v>
      </c>
      <c r="L251" t="s">
        <v>28</v>
      </c>
      <c r="M251" t="s">
        <v>2638</v>
      </c>
      <c r="N251">
        <v>658</v>
      </c>
      <c r="O251" t="s">
        <v>2639</v>
      </c>
      <c r="P251" t="s">
        <v>18</v>
      </c>
    </row>
    <row r="252" spans="1:16" x14ac:dyDescent="0.35">
      <c r="A252">
        <v>6683638</v>
      </c>
      <c r="B252" t="s">
        <v>2640</v>
      </c>
      <c r="C252" t="str">
        <f>"9780128218426"</f>
        <v>9780128218426</v>
      </c>
      <c r="D252" t="str">
        <f>"9780128218549"</f>
        <v>9780128218549</v>
      </c>
      <c r="E252" t="s">
        <v>1699</v>
      </c>
      <c r="F252" t="s">
        <v>1699</v>
      </c>
      <c r="G252" s="1">
        <v>44413</v>
      </c>
      <c r="H252" s="1">
        <v>44404</v>
      </c>
      <c r="J252" t="s">
        <v>1737</v>
      </c>
      <c r="K252" t="s">
        <v>2641</v>
      </c>
      <c r="L252" t="s">
        <v>2642</v>
      </c>
      <c r="M252" t="s">
        <v>2643</v>
      </c>
      <c r="N252">
        <v>547.70000000000005</v>
      </c>
      <c r="O252" t="s">
        <v>2644</v>
      </c>
      <c r="P252" t="s">
        <v>18</v>
      </c>
    </row>
    <row r="253" spans="1:16" x14ac:dyDescent="0.35">
      <c r="A253">
        <v>6687625</v>
      </c>
      <c r="B253" t="s">
        <v>2645</v>
      </c>
      <c r="C253" t="str">
        <f>"9780323852159"</f>
        <v>9780323852159</v>
      </c>
      <c r="D253" t="str">
        <f>"9780323853583"</f>
        <v>9780323853583</v>
      </c>
      <c r="E253" t="s">
        <v>190</v>
      </c>
      <c r="F253" t="s">
        <v>191</v>
      </c>
      <c r="G253" s="1">
        <v>44413</v>
      </c>
      <c r="H253" s="1">
        <v>44411</v>
      </c>
      <c r="K253" t="s">
        <v>2646</v>
      </c>
      <c r="L253" t="s">
        <v>397</v>
      </c>
      <c r="M253" t="s">
        <v>2647</v>
      </c>
      <c r="N253">
        <v>615.90200000000004</v>
      </c>
      <c r="O253" t="s">
        <v>2648</v>
      </c>
      <c r="P253" t="s">
        <v>18</v>
      </c>
    </row>
    <row r="254" spans="1:16" x14ac:dyDescent="0.35">
      <c r="A254">
        <v>6885076</v>
      </c>
      <c r="B254" t="s">
        <v>2649</v>
      </c>
      <c r="C254" t="str">
        <f>"9789264516083"</f>
        <v>9789264516083</v>
      </c>
      <c r="D254" t="str">
        <f>"9789264420236"</f>
        <v>9789264420236</v>
      </c>
      <c r="E254" t="s">
        <v>366</v>
      </c>
      <c r="F254" t="s">
        <v>201</v>
      </c>
      <c r="G254" s="1">
        <v>44413</v>
      </c>
      <c r="H254" s="1">
        <v>44604</v>
      </c>
      <c r="I254">
        <v>1</v>
      </c>
      <c r="K254" t="s">
        <v>201</v>
      </c>
      <c r="L254" t="s">
        <v>42</v>
      </c>
      <c r="P254" t="s">
        <v>18</v>
      </c>
    </row>
    <row r="255" spans="1:16" x14ac:dyDescent="0.35">
      <c r="A255">
        <v>6675328</v>
      </c>
      <c r="B255" t="s">
        <v>2650</v>
      </c>
      <c r="C255" t="str">
        <f>"9781641434317"</f>
        <v>9781641434317</v>
      </c>
      <c r="D255" t="str">
        <f>"9781641434324"</f>
        <v>9781641434324</v>
      </c>
      <c r="E255" t="s">
        <v>457</v>
      </c>
      <c r="F255" t="s">
        <v>457</v>
      </c>
      <c r="G255" s="1">
        <v>44410</v>
      </c>
      <c r="H255" s="1">
        <v>44390</v>
      </c>
      <c r="K255" t="s">
        <v>2651</v>
      </c>
      <c r="L255" t="s">
        <v>85</v>
      </c>
      <c r="M255" t="s">
        <v>2652</v>
      </c>
      <c r="N255">
        <v>627.5</v>
      </c>
      <c r="O255" t="s">
        <v>2653</v>
      </c>
      <c r="P255" t="s">
        <v>18</v>
      </c>
    </row>
    <row r="256" spans="1:16" x14ac:dyDescent="0.35">
      <c r="A256">
        <v>6680872</v>
      </c>
      <c r="B256" t="s">
        <v>2654</v>
      </c>
      <c r="C256" t="str">
        <f>"9781800712119"</f>
        <v>9781800712119</v>
      </c>
      <c r="D256" t="str">
        <f>"9781800712102"</f>
        <v>9781800712102</v>
      </c>
      <c r="E256" t="s">
        <v>187</v>
      </c>
      <c r="F256" t="s">
        <v>187</v>
      </c>
      <c r="G256" s="1">
        <v>44410</v>
      </c>
      <c r="H256" s="1">
        <v>44399</v>
      </c>
      <c r="J256" t="s">
        <v>2655</v>
      </c>
      <c r="K256" t="s">
        <v>2656</v>
      </c>
      <c r="L256" t="s">
        <v>41</v>
      </c>
      <c r="M256" t="s">
        <v>2657</v>
      </c>
      <c r="N256">
        <v>338.04</v>
      </c>
      <c r="O256" t="s">
        <v>2658</v>
      </c>
      <c r="P256" t="s">
        <v>18</v>
      </c>
    </row>
    <row r="257" spans="1:16" x14ac:dyDescent="0.35">
      <c r="A257">
        <v>6640397</v>
      </c>
      <c r="B257" t="s">
        <v>2659</v>
      </c>
      <c r="C257" t="str">
        <f>"9781527569850"</f>
        <v>9781527569850</v>
      </c>
      <c r="D257" t="str">
        <f>"9781527570788"</f>
        <v>9781527570788</v>
      </c>
      <c r="E257" t="s">
        <v>1662</v>
      </c>
      <c r="F257" t="s">
        <v>1662</v>
      </c>
      <c r="G257" s="1">
        <v>44409</v>
      </c>
      <c r="H257" s="1">
        <v>44359</v>
      </c>
      <c r="K257" t="s">
        <v>2660</v>
      </c>
      <c r="L257" t="s">
        <v>26</v>
      </c>
      <c r="M257" t="s">
        <v>2661</v>
      </c>
      <c r="N257">
        <v>336.34</v>
      </c>
      <c r="O257" t="s">
        <v>2662</v>
      </c>
      <c r="P257" t="s">
        <v>18</v>
      </c>
    </row>
    <row r="258" spans="1:16" x14ac:dyDescent="0.35">
      <c r="A258">
        <v>6675380</v>
      </c>
      <c r="B258" t="s">
        <v>2663</v>
      </c>
      <c r="C258" t="str">
        <f>"9781475861259"</f>
        <v>9781475861259</v>
      </c>
      <c r="D258" t="str">
        <f>"9781475861273"</f>
        <v>9781475861273</v>
      </c>
      <c r="E258" t="s">
        <v>443</v>
      </c>
      <c r="F258" t="s">
        <v>443</v>
      </c>
      <c r="G258" s="1">
        <v>44409</v>
      </c>
      <c r="H258" s="1">
        <v>44390</v>
      </c>
      <c r="K258" t="s">
        <v>2664</v>
      </c>
      <c r="L258" t="s">
        <v>30</v>
      </c>
      <c r="M258" t="s">
        <v>2665</v>
      </c>
      <c r="N258">
        <v>370.11500000000001</v>
      </c>
      <c r="O258" t="s">
        <v>2666</v>
      </c>
      <c r="P258" t="s">
        <v>18</v>
      </c>
    </row>
    <row r="259" spans="1:16" x14ac:dyDescent="0.35">
      <c r="A259">
        <v>6648886</v>
      </c>
      <c r="B259" t="s">
        <v>2667</v>
      </c>
      <c r="C259" t="str">
        <f>"9781789245400"</f>
        <v>9781789245400</v>
      </c>
      <c r="D259" t="str">
        <f>"9781789245424"</f>
        <v>9781789245424</v>
      </c>
      <c r="E259" t="s">
        <v>333</v>
      </c>
      <c r="F259" t="s">
        <v>333</v>
      </c>
      <c r="G259" s="1">
        <v>44407</v>
      </c>
      <c r="H259" s="1">
        <v>44377</v>
      </c>
      <c r="K259" t="s">
        <v>2668</v>
      </c>
      <c r="L259" t="s">
        <v>212</v>
      </c>
      <c r="M259" t="s">
        <v>2669</v>
      </c>
      <c r="N259">
        <v>615.53499999999997</v>
      </c>
      <c r="O259" t="s">
        <v>2670</v>
      </c>
      <c r="P259" t="s">
        <v>18</v>
      </c>
    </row>
    <row r="260" spans="1:16" x14ac:dyDescent="0.35">
      <c r="A260">
        <v>6682554</v>
      </c>
      <c r="B260" t="s">
        <v>2671</v>
      </c>
      <c r="C260" t="str">
        <f>"9781536197204"</f>
        <v>9781536197204</v>
      </c>
      <c r="D260" t="str">
        <f>"9781536199437"</f>
        <v>9781536199437</v>
      </c>
      <c r="E260" t="s">
        <v>1689</v>
      </c>
      <c r="F260" t="s">
        <v>1689</v>
      </c>
      <c r="G260" s="1">
        <v>44407</v>
      </c>
      <c r="H260" s="1">
        <v>44401</v>
      </c>
      <c r="I260">
        <v>1</v>
      </c>
      <c r="J260" t="s">
        <v>2672</v>
      </c>
      <c r="K260" t="s">
        <v>2673</v>
      </c>
      <c r="L260" t="s">
        <v>105</v>
      </c>
      <c r="P260" t="s">
        <v>18</v>
      </c>
    </row>
    <row r="261" spans="1:16" x14ac:dyDescent="0.35">
      <c r="A261">
        <v>6685870</v>
      </c>
      <c r="B261" t="s">
        <v>2674</v>
      </c>
      <c r="C261" t="str">
        <f>"9780128221884"</f>
        <v>9780128221884</v>
      </c>
      <c r="D261" t="str">
        <f>"9780128223659"</f>
        <v>9780128223659</v>
      </c>
      <c r="E261" t="s">
        <v>1699</v>
      </c>
      <c r="F261" t="s">
        <v>1699</v>
      </c>
      <c r="G261" s="1">
        <v>44407</v>
      </c>
      <c r="H261" s="1">
        <v>44407</v>
      </c>
      <c r="K261" t="s">
        <v>2675</v>
      </c>
      <c r="L261" t="s">
        <v>26</v>
      </c>
      <c r="M261" t="s">
        <v>2676</v>
      </c>
      <c r="N261">
        <v>338.92700000000002</v>
      </c>
      <c r="O261" t="s">
        <v>2677</v>
      </c>
      <c r="P261" t="s">
        <v>18</v>
      </c>
    </row>
    <row r="262" spans="1:16" x14ac:dyDescent="0.35">
      <c r="A262">
        <v>6695896</v>
      </c>
      <c r="B262" t="s">
        <v>2678</v>
      </c>
      <c r="C262" t="str">
        <f>"9783631839225"</f>
        <v>9783631839225</v>
      </c>
      <c r="D262" t="str">
        <f>"9783631854372"</f>
        <v>9783631854372</v>
      </c>
      <c r="E262" t="s">
        <v>2432</v>
      </c>
      <c r="F262" t="s">
        <v>2432</v>
      </c>
      <c r="G262" s="1">
        <v>44407</v>
      </c>
      <c r="H262" s="1">
        <v>44419</v>
      </c>
      <c r="I262">
        <v>1</v>
      </c>
      <c r="K262" t="s">
        <v>2679</v>
      </c>
      <c r="L262" t="s">
        <v>2680</v>
      </c>
      <c r="P262" t="s">
        <v>18</v>
      </c>
    </row>
    <row r="263" spans="1:16" x14ac:dyDescent="0.35">
      <c r="A263">
        <v>6710182</v>
      </c>
      <c r="B263" t="s">
        <v>2681</v>
      </c>
      <c r="C263" t="str">
        <f>"9781534507821"</f>
        <v>9781534507821</v>
      </c>
      <c r="D263" t="str">
        <f>"9781534507838"</f>
        <v>9781534507838</v>
      </c>
      <c r="E263" t="s">
        <v>2682</v>
      </c>
      <c r="F263" t="s">
        <v>2683</v>
      </c>
      <c r="G263" s="1">
        <v>44407</v>
      </c>
      <c r="H263" s="1">
        <v>44432</v>
      </c>
      <c r="I263">
        <v>1</v>
      </c>
      <c r="J263" t="s">
        <v>2684</v>
      </c>
      <c r="K263" t="s">
        <v>2685</v>
      </c>
      <c r="L263" t="s">
        <v>359</v>
      </c>
      <c r="P263" t="s">
        <v>18</v>
      </c>
    </row>
    <row r="264" spans="1:16" x14ac:dyDescent="0.35">
      <c r="A264">
        <v>6647078</v>
      </c>
      <c r="B264" t="s">
        <v>2686</v>
      </c>
      <c r="C264" t="str">
        <f>"9781786999542"</f>
        <v>9781786999542</v>
      </c>
      <c r="D264" t="str">
        <f>"9781786999511"</f>
        <v>9781786999511</v>
      </c>
      <c r="E264" t="s">
        <v>392</v>
      </c>
      <c r="F264" t="s">
        <v>393</v>
      </c>
      <c r="G264" s="1">
        <v>44406</v>
      </c>
      <c r="H264" s="1">
        <v>44377</v>
      </c>
      <c r="J264" t="s">
        <v>2282</v>
      </c>
      <c r="K264" t="s">
        <v>2687</v>
      </c>
      <c r="L264" t="s">
        <v>49</v>
      </c>
      <c r="M264" t="s">
        <v>2688</v>
      </c>
      <c r="N264">
        <v>304.2</v>
      </c>
      <c r="O264" t="s">
        <v>2689</v>
      </c>
      <c r="P264" t="s">
        <v>18</v>
      </c>
    </row>
    <row r="265" spans="1:16" x14ac:dyDescent="0.35">
      <c r="A265">
        <v>6693058</v>
      </c>
      <c r="B265" t="s">
        <v>2690</v>
      </c>
      <c r="C265" t="str">
        <f>"9789811221828"</f>
        <v>9789811221828</v>
      </c>
      <c r="D265" t="str">
        <f>"9789811234316"</f>
        <v>9789811234316</v>
      </c>
      <c r="E265" t="s">
        <v>184</v>
      </c>
      <c r="F265" t="s">
        <v>185</v>
      </c>
      <c r="G265" s="1">
        <v>44406</v>
      </c>
      <c r="H265" s="1">
        <v>44417</v>
      </c>
      <c r="J265" t="s">
        <v>2691</v>
      </c>
      <c r="K265" t="s">
        <v>2692</v>
      </c>
      <c r="L265" t="s">
        <v>26</v>
      </c>
      <c r="M265" t="s">
        <v>2693</v>
      </c>
      <c r="N265">
        <v>338.95907</v>
      </c>
      <c r="O265" t="s">
        <v>2694</v>
      </c>
      <c r="P265" t="s">
        <v>18</v>
      </c>
    </row>
    <row r="266" spans="1:16" x14ac:dyDescent="0.35">
      <c r="A266">
        <v>6675261</v>
      </c>
      <c r="B266" t="s">
        <v>2695</v>
      </c>
      <c r="C266" t="str">
        <f>"9781800433335"</f>
        <v>9781800433335</v>
      </c>
      <c r="D266" t="str">
        <f>"9781800433304"</f>
        <v>9781800433304</v>
      </c>
      <c r="E266" t="s">
        <v>187</v>
      </c>
      <c r="F266" t="s">
        <v>187</v>
      </c>
      <c r="G266" s="1">
        <v>44405</v>
      </c>
      <c r="H266" s="1">
        <v>44389</v>
      </c>
      <c r="J266" t="s">
        <v>2696</v>
      </c>
      <c r="K266" t="s">
        <v>2697</v>
      </c>
      <c r="L266" t="s">
        <v>38</v>
      </c>
      <c r="M266" t="s">
        <v>2698</v>
      </c>
      <c r="N266">
        <v>301</v>
      </c>
      <c r="O266" t="s">
        <v>2699</v>
      </c>
      <c r="P266" t="s">
        <v>18</v>
      </c>
    </row>
    <row r="267" spans="1:16" x14ac:dyDescent="0.35">
      <c r="A267">
        <v>6675259</v>
      </c>
      <c r="B267" t="s">
        <v>2700</v>
      </c>
      <c r="C267" t="str">
        <f>"9781800713079"</f>
        <v>9781800713079</v>
      </c>
      <c r="D267" t="str">
        <f>"9781800713086"</f>
        <v>9781800713086</v>
      </c>
      <c r="E267" t="s">
        <v>187</v>
      </c>
      <c r="F267" t="s">
        <v>187</v>
      </c>
      <c r="G267" s="1">
        <v>44404</v>
      </c>
      <c r="H267" s="1">
        <v>44389</v>
      </c>
      <c r="J267" t="s">
        <v>2701</v>
      </c>
      <c r="K267" t="s">
        <v>2702</v>
      </c>
      <c r="L267" t="s">
        <v>28</v>
      </c>
      <c r="M267" t="s">
        <v>371</v>
      </c>
      <c r="N267">
        <v>658.3</v>
      </c>
      <c r="O267" t="s">
        <v>2703</v>
      </c>
      <c r="P267" t="s">
        <v>18</v>
      </c>
    </row>
    <row r="268" spans="1:16" x14ac:dyDescent="0.35">
      <c r="A268">
        <v>6683922</v>
      </c>
      <c r="B268" t="s">
        <v>2704</v>
      </c>
      <c r="C268" t="str">
        <f>"9781982152291"</f>
        <v>9781982152291</v>
      </c>
      <c r="D268" t="str">
        <f>"9781982152307"</f>
        <v>9781982152307</v>
      </c>
      <c r="E268" t="s">
        <v>2705</v>
      </c>
      <c r="F268" t="s">
        <v>2706</v>
      </c>
      <c r="G268" s="1">
        <v>44404</v>
      </c>
      <c r="H268" s="1">
        <v>44404</v>
      </c>
      <c r="K268" t="s">
        <v>2707</v>
      </c>
      <c r="L268" t="s">
        <v>31</v>
      </c>
      <c r="M268" t="s">
        <v>2708</v>
      </c>
      <c r="N268">
        <v>363.72820000000002</v>
      </c>
      <c r="O268" t="s">
        <v>2709</v>
      </c>
      <c r="P268" t="s">
        <v>18</v>
      </c>
    </row>
    <row r="269" spans="1:16" x14ac:dyDescent="0.35">
      <c r="A269">
        <v>6644514</v>
      </c>
      <c r="B269" t="s">
        <v>2710</v>
      </c>
      <c r="C269" t="str">
        <f>"9781536197266"</f>
        <v>9781536197266</v>
      </c>
      <c r="D269" t="str">
        <f>"9781536198577"</f>
        <v>9781536198577</v>
      </c>
      <c r="E269" t="s">
        <v>1689</v>
      </c>
      <c r="F269" t="s">
        <v>1689</v>
      </c>
      <c r="G269" s="1">
        <v>44400</v>
      </c>
      <c r="H269" s="1">
        <v>44366</v>
      </c>
      <c r="I269">
        <v>1</v>
      </c>
      <c r="J269" t="s">
        <v>2711</v>
      </c>
      <c r="K269" t="s">
        <v>2712</v>
      </c>
      <c r="L269" t="s">
        <v>105</v>
      </c>
      <c r="P269" t="s">
        <v>18</v>
      </c>
    </row>
    <row r="270" spans="1:16" x14ac:dyDescent="0.35">
      <c r="A270">
        <v>6682755</v>
      </c>
      <c r="B270" t="s">
        <v>2713</v>
      </c>
      <c r="C270" t="str">
        <f>"9780128198711"</f>
        <v>9780128198711</v>
      </c>
      <c r="D270" t="str">
        <f>"9780128198988"</f>
        <v>9780128198988</v>
      </c>
      <c r="E270" t="s">
        <v>1699</v>
      </c>
      <c r="F270" t="s">
        <v>1699</v>
      </c>
      <c r="G270" s="1">
        <v>44400</v>
      </c>
      <c r="H270" s="1">
        <v>44401</v>
      </c>
      <c r="K270" t="s">
        <v>2714</v>
      </c>
      <c r="L270" t="s">
        <v>163</v>
      </c>
      <c r="M270" t="s">
        <v>2715</v>
      </c>
      <c r="N270">
        <v>363.61</v>
      </c>
      <c r="O270" t="s">
        <v>2716</v>
      </c>
      <c r="P270" t="s">
        <v>18</v>
      </c>
    </row>
    <row r="271" spans="1:16" x14ac:dyDescent="0.35">
      <c r="A271">
        <v>6682985</v>
      </c>
      <c r="B271" t="s">
        <v>2717</v>
      </c>
      <c r="C271" t="str">
        <f>"9780323852043"</f>
        <v>9780323852043</v>
      </c>
      <c r="D271" t="str">
        <f>"9780323853651"</f>
        <v>9780323853651</v>
      </c>
      <c r="E271" t="s">
        <v>190</v>
      </c>
      <c r="F271" t="s">
        <v>280</v>
      </c>
      <c r="G271" s="1">
        <v>44400</v>
      </c>
      <c r="H271" s="1">
        <v>44403</v>
      </c>
      <c r="J271" t="s">
        <v>2510</v>
      </c>
      <c r="K271" t="s">
        <v>2718</v>
      </c>
      <c r="L271" t="s">
        <v>2719</v>
      </c>
      <c r="M271" t="s">
        <v>2720</v>
      </c>
      <c r="N271">
        <v>677.00286000000006</v>
      </c>
      <c r="O271" t="s">
        <v>2721</v>
      </c>
      <c r="P271" t="s">
        <v>18</v>
      </c>
    </row>
    <row r="272" spans="1:16" x14ac:dyDescent="0.35">
      <c r="A272">
        <v>6639654</v>
      </c>
      <c r="B272" t="s">
        <v>2722</v>
      </c>
      <c r="C272" t="str">
        <f>"9781538142851"</f>
        <v>9781538142851</v>
      </c>
      <c r="D272" t="str">
        <f>"9781538142875"</f>
        <v>9781538142875</v>
      </c>
      <c r="E272" t="s">
        <v>443</v>
      </c>
      <c r="F272" t="s">
        <v>443</v>
      </c>
      <c r="G272" s="1">
        <v>44399</v>
      </c>
      <c r="H272" s="1">
        <v>44358</v>
      </c>
      <c r="J272" t="s">
        <v>2723</v>
      </c>
      <c r="K272" t="s">
        <v>2724</v>
      </c>
      <c r="L272" t="s">
        <v>234</v>
      </c>
      <c r="M272" t="s">
        <v>2725</v>
      </c>
      <c r="N272">
        <v>25.1</v>
      </c>
      <c r="O272" t="s">
        <v>2726</v>
      </c>
      <c r="P272" t="s">
        <v>18</v>
      </c>
    </row>
    <row r="273" spans="1:16" x14ac:dyDescent="0.35">
      <c r="A273">
        <v>6644510</v>
      </c>
      <c r="B273" t="s">
        <v>2727</v>
      </c>
      <c r="C273" t="str">
        <f>"9781536198409"</f>
        <v>9781536198409</v>
      </c>
      <c r="D273" t="str">
        <f>"9781536198652"</f>
        <v>9781536198652</v>
      </c>
      <c r="E273" t="s">
        <v>1689</v>
      </c>
      <c r="F273" t="s">
        <v>1689</v>
      </c>
      <c r="G273" s="1">
        <v>44399</v>
      </c>
      <c r="H273" s="1">
        <v>44366</v>
      </c>
      <c r="I273">
        <v>1</v>
      </c>
      <c r="J273" t="s">
        <v>2728</v>
      </c>
      <c r="K273" t="s">
        <v>2729</v>
      </c>
      <c r="L273" t="s">
        <v>105</v>
      </c>
      <c r="M273" t="s">
        <v>2730</v>
      </c>
      <c r="N273">
        <v>363.7</v>
      </c>
      <c r="O273" t="s">
        <v>2731</v>
      </c>
      <c r="P273" t="s">
        <v>18</v>
      </c>
    </row>
    <row r="274" spans="1:16" x14ac:dyDescent="0.35">
      <c r="A274">
        <v>6679147</v>
      </c>
      <c r="B274" t="s">
        <v>2732</v>
      </c>
      <c r="C274" t="str">
        <f>"9780128241509"</f>
        <v>9780128241509</v>
      </c>
      <c r="D274" t="str">
        <f>"9780128241516"</f>
        <v>9780128241516</v>
      </c>
      <c r="E274" t="s">
        <v>1699</v>
      </c>
      <c r="F274" t="s">
        <v>1699</v>
      </c>
      <c r="G274" s="1">
        <v>44399</v>
      </c>
      <c r="H274" s="1">
        <v>44394</v>
      </c>
      <c r="K274" t="s">
        <v>2733</v>
      </c>
      <c r="L274" t="s">
        <v>118</v>
      </c>
      <c r="M274" t="s">
        <v>2734</v>
      </c>
      <c r="N274">
        <v>668.41099999999994</v>
      </c>
      <c r="O274" t="s">
        <v>2735</v>
      </c>
      <c r="P274" t="s">
        <v>18</v>
      </c>
    </row>
    <row r="275" spans="1:16" x14ac:dyDescent="0.35">
      <c r="A275">
        <v>6885073</v>
      </c>
      <c r="B275" t="s">
        <v>2736</v>
      </c>
      <c r="C275" t="str">
        <f>"9789264549975"</f>
        <v>9789264549975</v>
      </c>
      <c r="D275" t="str">
        <f>"9789264370784"</f>
        <v>9789264370784</v>
      </c>
      <c r="E275" t="s">
        <v>366</v>
      </c>
      <c r="F275" t="s">
        <v>201</v>
      </c>
      <c r="G275" s="1">
        <v>44399</v>
      </c>
      <c r="H275" s="1">
        <v>44604</v>
      </c>
      <c r="I275">
        <v>1</v>
      </c>
      <c r="K275" t="s">
        <v>201</v>
      </c>
      <c r="L275" t="s">
        <v>42</v>
      </c>
      <c r="P275" t="s">
        <v>18</v>
      </c>
    </row>
    <row r="276" spans="1:16" x14ac:dyDescent="0.35">
      <c r="A276">
        <v>6693053</v>
      </c>
      <c r="B276" t="s">
        <v>2737</v>
      </c>
      <c r="C276" t="str">
        <f>"9781800610361"</f>
        <v>9781800610361</v>
      </c>
      <c r="D276" t="str">
        <f>"9781800610378"</f>
        <v>9781800610378</v>
      </c>
      <c r="E276" t="s">
        <v>184</v>
      </c>
      <c r="F276" t="s">
        <v>2401</v>
      </c>
      <c r="G276" s="1">
        <v>44398</v>
      </c>
      <c r="H276" s="1">
        <v>44417</v>
      </c>
      <c r="K276" t="s">
        <v>2738</v>
      </c>
      <c r="L276" t="s">
        <v>2739</v>
      </c>
      <c r="M276" t="s">
        <v>2740</v>
      </c>
      <c r="N276">
        <v>333.79</v>
      </c>
      <c r="O276" t="s">
        <v>2741</v>
      </c>
      <c r="P276" t="s">
        <v>18</v>
      </c>
    </row>
    <row r="277" spans="1:16" x14ac:dyDescent="0.35">
      <c r="A277">
        <v>6679355</v>
      </c>
      <c r="B277" t="s">
        <v>2742</v>
      </c>
      <c r="C277" t="str">
        <f>"9780128234112"</f>
        <v>9780128234112</v>
      </c>
      <c r="D277" t="str">
        <f>"9780128236048"</f>
        <v>9780128236048</v>
      </c>
      <c r="E277" t="s">
        <v>1699</v>
      </c>
      <c r="F277" t="s">
        <v>1699</v>
      </c>
      <c r="G277" s="1">
        <v>44397</v>
      </c>
      <c r="H277" s="1">
        <v>44395</v>
      </c>
      <c r="K277" t="s">
        <v>2743</v>
      </c>
      <c r="L277" t="s">
        <v>41</v>
      </c>
      <c r="M277" t="s">
        <v>2744</v>
      </c>
      <c r="N277">
        <v>338.92701511799999</v>
      </c>
      <c r="O277" t="s">
        <v>2745</v>
      </c>
      <c r="P277" t="s">
        <v>18</v>
      </c>
    </row>
    <row r="278" spans="1:16" x14ac:dyDescent="0.35">
      <c r="A278">
        <v>6679399</v>
      </c>
      <c r="B278" t="s">
        <v>2746</v>
      </c>
      <c r="C278" t="str">
        <f>"9780323857680"</f>
        <v>9780323857680</v>
      </c>
      <c r="D278" t="str">
        <f>"9780323856461"</f>
        <v>9780323856461</v>
      </c>
      <c r="E278" t="s">
        <v>1699</v>
      </c>
      <c r="F278" t="s">
        <v>1699</v>
      </c>
      <c r="G278" s="1">
        <v>44397</v>
      </c>
      <c r="H278" s="1">
        <v>44396</v>
      </c>
      <c r="K278" t="s">
        <v>2747</v>
      </c>
      <c r="L278" t="s">
        <v>113</v>
      </c>
      <c r="M278" t="s">
        <v>2748</v>
      </c>
      <c r="N278">
        <v>628.16399999999999</v>
      </c>
      <c r="O278" t="s">
        <v>2749</v>
      </c>
      <c r="P278" t="s">
        <v>18</v>
      </c>
    </row>
    <row r="279" spans="1:16" x14ac:dyDescent="0.35">
      <c r="A279">
        <v>6701278</v>
      </c>
      <c r="B279" t="s">
        <v>2750</v>
      </c>
      <c r="C279" t="str">
        <f>""</f>
        <v/>
      </c>
      <c r="D279" t="str">
        <f>"9783110702514"</f>
        <v>9783110702514</v>
      </c>
      <c r="E279" t="s">
        <v>404</v>
      </c>
      <c r="F279" t="s">
        <v>404</v>
      </c>
      <c r="G279" s="1">
        <v>44397</v>
      </c>
      <c r="H279" s="1">
        <v>44424</v>
      </c>
      <c r="J279" t="s">
        <v>2751</v>
      </c>
      <c r="K279" t="s">
        <v>2752</v>
      </c>
      <c r="L279" t="s">
        <v>26</v>
      </c>
      <c r="M279" t="s">
        <v>2753</v>
      </c>
      <c r="N279" t="s">
        <v>128</v>
      </c>
      <c r="O279" t="s">
        <v>2754</v>
      </c>
      <c r="P279" t="s">
        <v>18</v>
      </c>
    </row>
    <row r="280" spans="1:16" x14ac:dyDescent="0.35">
      <c r="A280">
        <v>6701507</v>
      </c>
      <c r="B280" t="s">
        <v>2755</v>
      </c>
      <c r="C280" t="str">
        <f>""</f>
        <v/>
      </c>
      <c r="D280" t="str">
        <f>"9783110702507"</f>
        <v>9783110702507</v>
      </c>
      <c r="E280" t="s">
        <v>404</v>
      </c>
      <c r="F280" t="s">
        <v>404</v>
      </c>
      <c r="G280" s="1">
        <v>44397</v>
      </c>
      <c r="H280" s="1">
        <v>44424</v>
      </c>
      <c r="J280" t="s">
        <v>2751</v>
      </c>
      <c r="K280" t="s">
        <v>2756</v>
      </c>
      <c r="L280" t="s">
        <v>56</v>
      </c>
      <c r="M280" t="s">
        <v>2757</v>
      </c>
      <c r="N280">
        <v>5.74</v>
      </c>
      <c r="O280" t="s">
        <v>2758</v>
      </c>
      <c r="P280" t="s">
        <v>18</v>
      </c>
    </row>
    <row r="281" spans="1:16" x14ac:dyDescent="0.35">
      <c r="A281">
        <v>6701469</v>
      </c>
      <c r="B281" t="s">
        <v>2759</v>
      </c>
      <c r="C281" t="str">
        <f>"9783110584073"</f>
        <v>9783110584073</v>
      </c>
      <c r="D281" t="str">
        <f>"9783110584455"</f>
        <v>9783110584455</v>
      </c>
      <c r="E281" t="s">
        <v>404</v>
      </c>
      <c r="F281" t="s">
        <v>404</v>
      </c>
      <c r="G281" s="1">
        <v>44396</v>
      </c>
      <c r="H281" s="1">
        <v>44424</v>
      </c>
      <c r="K281" t="s">
        <v>2760</v>
      </c>
      <c r="L281" t="s">
        <v>26</v>
      </c>
      <c r="M281" t="s">
        <v>2761</v>
      </c>
      <c r="N281">
        <v>338.92700000000002</v>
      </c>
      <c r="O281" t="s">
        <v>2762</v>
      </c>
      <c r="P281" t="s">
        <v>18</v>
      </c>
    </row>
    <row r="282" spans="1:16" x14ac:dyDescent="0.35">
      <c r="A282">
        <v>6702541</v>
      </c>
      <c r="B282" t="s">
        <v>2763</v>
      </c>
      <c r="C282" t="str">
        <f>""</f>
        <v/>
      </c>
      <c r="D282" t="str">
        <f>"9783110749298"</f>
        <v>9783110749298</v>
      </c>
      <c r="E282" t="s">
        <v>404</v>
      </c>
      <c r="F282" t="s">
        <v>404</v>
      </c>
      <c r="G282" s="1">
        <v>44396</v>
      </c>
      <c r="H282" s="1">
        <v>44424</v>
      </c>
      <c r="J282" t="s">
        <v>2764</v>
      </c>
      <c r="K282" t="s">
        <v>2765</v>
      </c>
      <c r="L282" t="s">
        <v>38</v>
      </c>
      <c r="M282" t="s">
        <v>2766</v>
      </c>
      <c r="N282" t="s">
        <v>2767</v>
      </c>
      <c r="O282" t="s">
        <v>2768</v>
      </c>
      <c r="P282" t="s">
        <v>18</v>
      </c>
    </row>
    <row r="283" spans="1:16" x14ac:dyDescent="0.35">
      <c r="A283">
        <v>6682894</v>
      </c>
      <c r="B283" t="s">
        <v>2769</v>
      </c>
      <c r="C283" t="str">
        <f>"9781789906028"</f>
        <v>9781789906028</v>
      </c>
      <c r="D283" t="str">
        <f>"9781789906035"</f>
        <v>9781789906035</v>
      </c>
      <c r="E283" t="s">
        <v>2080</v>
      </c>
      <c r="F283" t="s">
        <v>2080</v>
      </c>
      <c r="G283" s="1">
        <v>44393</v>
      </c>
      <c r="H283" s="1">
        <v>44401</v>
      </c>
      <c r="K283" t="s">
        <v>2770</v>
      </c>
      <c r="L283" t="s">
        <v>26</v>
      </c>
      <c r="M283" t="s">
        <v>2771</v>
      </c>
      <c r="N283">
        <v>338.92700000000002</v>
      </c>
      <c r="O283" t="s">
        <v>2772</v>
      </c>
      <c r="P283" t="s">
        <v>18</v>
      </c>
    </row>
    <row r="284" spans="1:16" x14ac:dyDescent="0.35">
      <c r="A284">
        <v>6682919</v>
      </c>
      <c r="B284" t="s">
        <v>2773</v>
      </c>
      <c r="C284" t="str">
        <f>"9781789901344"</f>
        <v>9781789901344</v>
      </c>
      <c r="D284" t="str">
        <f>"9781789901351"</f>
        <v>9781789901351</v>
      </c>
      <c r="E284" t="s">
        <v>2080</v>
      </c>
      <c r="F284" t="s">
        <v>2080</v>
      </c>
      <c r="G284" s="1">
        <v>44393</v>
      </c>
      <c r="H284" s="1">
        <v>44401</v>
      </c>
      <c r="J284" t="s">
        <v>2774</v>
      </c>
      <c r="K284" t="s">
        <v>2775</v>
      </c>
      <c r="L284" t="s">
        <v>23</v>
      </c>
      <c r="M284" t="s">
        <v>2776</v>
      </c>
      <c r="N284" t="s">
        <v>435</v>
      </c>
      <c r="O284" t="s">
        <v>500</v>
      </c>
      <c r="P284" t="s">
        <v>18</v>
      </c>
    </row>
    <row r="285" spans="1:16" x14ac:dyDescent="0.35">
      <c r="A285">
        <v>6621428</v>
      </c>
      <c r="B285" t="s">
        <v>2777</v>
      </c>
      <c r="C285" t="str">
        <f>"9781536192339"</f>
        <v>9781536192339</v>
      </c>
      <c r="D285" t="str">
        <f>"9781536196610"</f>
        <v>9781536196610</v>
      </c>
      <c r="E285" t="s">
        <v>1689</v>
      </c>
      <c r="F285" t="s">
        <v>1689</v>
      </c>
      <c r="G285" s="1">
        <v>44392</v>
      </c>
      <c r="H285" s="1">
        <v>44331</v>
      </c>
      <c r="I285">
        <v>1</v>
      </c>
      <c r="J285" t="s">
        <v>2778</v>
      </c>
      <c r="K285" t="s">
        <v>2779</v>
      </c>
      <c r="L285" t="s">
        <v>26</v>
      </c>
      <c r="M285" t="s">
        <v>2780</v>
      </c>
      <c r="N285" t="s">
        <v>2781</v>
      </c>
      <c r="O285" t="s">
        <v>2782</v>
      </c>
      <c r="P285" t="s">
        <v>18</v>
      </c>
    </row>
    <row r="286" spans="1:16" x14ac:dyDescent="0.35">
      <c r="A286">
        <v>6644517</v>
      </c>
      <c r="B286" t="s">
        <v>2783</v>
      </c>
      <c r="C286" t="str">
        <f>"9781536198461"</f>
        <v>9781536198461</v>
      </c>
      <c r="D286" t="str">
        <f>"9781536198591"</f>
        <v>9781536198591</v>
      </c>
      <c r="E286" t="s">
        <v>1689</v>
      </c>
      <c r="F286" t="s">
        <v>1689</v>
      </c>
      <c r="G286" s="1">
        <v>44391</v>
      </c>
      <c r="H286" s="1">
        <v>44366</v>
      </c>
      <c r="I286">
        <v>1</v>
      </c>
      <c r="J286" t="s">
        <v>2784</v>
      </c>
      <c r="K286" t="s">
        <v>2785</v>
      </c>
      <c r="L286" t="s">
        <v>144</v>
      </c>
      <c r="M286" t="s">
        <v>2786</v>
      </c>
      <c r="N286">
        <v>577.072</v>
      </c>
      <c r="O286" t="s">
        <v>2787</v>
      </c>
      <c r="P286" t="s">
        <v>18</v>
      </c>
    </row>
    <row r="287" spans="1:16" x14ac:dyDescent="0.35">
      <c r="A287">
        <v>6676780</v>
      </c>
      <c r="B287" t="s">
        <v>2788</v>
      </c>
      <c r="C287" t="str">
        <f>"9781536198935"</f>
        <v>9781536198935</v>
      </c>
      <c r="D287" t="str">
        <f>"9781536199109"</f>
        <v>9781536199109</v>
      </c>
      <c r="E287" t="s">
        <v>1689</v>
      </c>
      <c r="F287" t="s">
        <v>1689</v>
      </c>
      <c r="G287" s="1">
        <v>44391</v>
      </c>
      <c r="H287" s="1">
        <v>44391</v>
      </c>
      <c r="I287">
        <v>1</v>
      </c>
      <c r="J287" t="s">
        <v>2789</v>
      </c>
      <c r="K287" t="s">
        <v>2790</v>
      </c>
      <c r="L287" t="s">
        <v>26</v>
      </c>
      <c r="M287" t="s">
        <v>2791</v>
      </c>
      <c r="N287">
        <v>338.98110700000001</v>
      </c>
      <c r="O287" t="s">
        <v>2792</v>
      </c>
      <c r="P287" t="s">
        <v>18</v>
      </c>
    </row>
    <row r="288" spans="1:16" x14ac:dyDescent="0.35">
      <c r="A288">
        <v>6676976</v>
      </c>
      <c r="B288" t="s">
        <v>2793</v>
      </c>
      <c r="C288" t="str">
        <f>"9781536198379"</f>
        <v>9781536198379</v>
      </c>
      <c r="D288" t="str">
        <f>"9781536198713"</f>
        <v>9781536198713</v>
      </c>
      <c r="E288" t="s">
        <v>1689</v>
      </c>
      <c r="F288" t="s">
        <v>1689</v>
      </c>
      <c r="G288" s="1">
        <v>44391</v>
      </c>
      <c r="H288" s="1">
        <v>44652</v>
      </c>
      <c r="I288">
        <v>1</v>
      </c>
      <c r="J288" t="s">
        <v>2794</v>
      </c>
      <c r="K288" t="s">
        <v>2795</v>
      </c>
      <c r="L288" t="s">
        <v>34</v>
      </c>
      <c r="M288" t="s">
        <v>2796</v>
      </c>
      <c r="N288">
        <v>951.24905000000001</v>
      </c>
      <c r="O288" t="s">
        <v>2797</v>
      </c>
      <c r="P288" t="s">
        <v>18</v>
      </c>
    </row>
    <row r="289" spans="1:16" x14ac:dyDescent="0.35">
      <c r="A289">
        <v>6788015</v>
      </c>
      <c r="B289" t="s">
        <v>2798</v>
      </c>
      <c r="C289" t="str">
        <f>""</f>
        <v/>
      </c>
      <c r="D289" t="str">
        <f>"9781801178754"</f>
        <v>9781801178754</v>
      </c>
      <c r="E289" t="s">
        <v>187</v>
      </c>
      <c r="F289" t="s">
        <v>187</v>
      </c>
      <c r="G289" s="1">
        <v>44391</v>
      </c>
      <c r="H289" s="1">
        <v>44491</v>
      </c>
      <c r="J289" t="s">
        <v>2799</v>
      </c>
      <c r="K289" t="s">
        <v>2800</v>
      </c>
      <c r="L289" t="s">
        <v>28</v>
      </c>
      <c r="M289" t="s">
        <v>2801</v>
      </c>
      <c r="N289">
        <v>659.2</v>
      </c>
      <c r="O289" t="s">
        <v>2802</v>
      </c>
      <c r="P289" t="s">
        <v>18</v>
      </c>
    </row>
    <row r="290" spans="1:16" x14ac:dyDescent="0.35">
      <c r="A290">
        <v>6692450</v>
      </c>
      <c r="B290" t="s">
        <v>2803</v>
      </c>
      <c r="C290" t="str">
        <f>"9783736974708"</f>
        <v>9783736974708</v>
      </c>
      <c r="D290" t="str">
        <f>"9783736964709"</f>
        <v>9783736964709</v>
      </c>
      <c r="E290" t="s">
        <v>2357</v>
      </c>
      <c r="F290" t="s">
        <v>2357</v>
      </c>
      <c r="G290" s="1">
        <v>44390</v>
      </c>
      <c r="H290" s="1">
        <v>44416</v>
      </c>
      <c r="I290">
        <v>1</v>
      </c>
      <c r="K290" t="s">
        <v>2804</v>
      </c>
      <c r="L290" t="s">
        <v>38</v>
      </c>
      <c r="M290" t="s">
        <v>2805</v>
      </c>
      <c r="N290">
        <v>363.34800000000001</v>
      </c>
      <c r="O290" t="s">
        <v>330</v>
      </c>
      <c r="P290" t="s">
        <v>18</v>
      </c>
    </row>
    <row r="291" spans="1:16" x14ac:dyDescent="0.35">
      <c r="A291">
        <v>6885080</v>
      </c>
      <c r="B291" t="s">
        <v>2806</v>
      </c>
      <c r="C291" t="str">
        <f>"9789264813281"</f>
        <v>9789264813281</v>
      </c>
      <c r="D291" t="str">
        <f>"9789264561267"</f>
        <v>9789264561267</v>
      </c>
      <c r="E291" t="s">
        <v>366</v>
      </c>
      <c r="F291" t="s">
        <v>201</v>
      </c>
      <c r="G291" s="1">
        <v>44390</v>
      </c>
      <c r="H291" s="1">
        <v>44604</v>
      </c>
      <c r="I291">
        <v>1</v>
      </c>
      <c r="K291" t="s">
        <v>201</v>
      </c>
      <c r="L291" t="s">
        <v>28</v>
      </c>
      <c r="P291" t="s">
        <v>18</v>
      </c>
    </row>
    <row r="292" spans="1:16" x14ac:dyDescent="0.35">
      <c r="A292">
        <v>6646770</v>
      </c>
      <c r="B292" t="s">
        <v>2807</v>
      </c>
      <c r="C292" t="str">
        <f>"9781800711150"</f>
        <v>9781800711150</v>
      </c>
      <c r="D292" t="str">
        <f>"9781800711167"</f>
        <v>9781800711167</v>
      </c>
      <c r="E292" t="s">
        <v>187</v>
      </c>
      <c r="F292" t="s">
        <v>187</v>
      </c>
      <c r="G292" s="1">
        <v>44389</v>
      </c>
      <c r="H292" s="1">
        <v>44376</v>
      </c>
      <c r="J292" t="s">
        <v>1882</v>
      </c>
      <c r="K292" t="s">
        <v>2808</v>
      </c>
      <c r="L292" t="s">
        <v>2809</v>
      </c>
      <c r="M292" t="s">
        <v>2810</v>
      </c>
      <c r="N292">
        <v>333.91009500000001</v>
      </c>
      <c r="O292" t="s">
        <v>2811</v>
      </c>
      <c r="P292" t="s">
        <v>18</v>
      </c>
    </row>
    <row r="293" spans="1:16" x14ac:dyDescent="0.35">
      <c r="A293">
        <v>6624699</v>
      </c>
      <c r="B293" t="s">
        <v>2812</v>
      </c>
      <c r="C293" t="str">
        <f>"9781642831559"</f>
        <v>9781642831559</v>
      </c>
      <c r="D293" t="str">
        <f>"9781642831566"</f>
        <v>9781642831566</v>
      </c>
      <c r="E293" t="s">
        <v>2154</v>
      </c>
      <c r="F293" t="s">
        <v>2154</v>
      </c>
      <c r="G293" s="1">
        <v>44385</v>
      </c>
      <c r="H293" s="1">
        <v>44335</v>
      </c>
      <c r="I293">
        <v>1</v>
      </c>
      <c r="K293" t="s">
        <v>2813</v>
      </c>
      <c r="L293" t="s">
        <v>28</v>
      </c>
      <c r="M293" t="s">
        <v>2814</v>
      </c>
      <c r="N293" t="s">
        <v>2815</v>
      </c>
      <c r="P293" t="s">
        <v>18</v>
      </c>
    </row>
    <row r="294" spans="1:16" x14ac:dyDescent="0.35">
      <c r="A294">
        <v>6637363</v>
      </c>
      <c r="B294" t="s">
        <v>2816</v>
      </c>
      <c r="C294" t="str">
        <f>"9780309678858"</f>
        <v>9780309678858</v>
      </c>
      <c r="D294" t="str">
        <f>"9780309678865"</f>
        <v>9780309678865</v>
      </c>
      <c r="E294" t="s">
        <v>531</v>
      </c>
      <c r="F294" t="s">
        <v>531</v>
      </c>
      <c r="G294" s="1">
        <v>44380</v>
      </c>
      <c r="H294" s="1">
        <v>44353</v>
      </c>
      <c r="I294">
        <v>1</v>
      </c>
      <c r="K294" t="s">
        <v>2817</v>
      </c>
      <c r="L294" t="s">
        <v>124</v>
      </c>
      <c r="P294" t="s">
        <v>18</v>
      </c>
    </row>
    <row r="295" spans="1:16" x14ac:dyDescent="0.35">
      <c r="A295">
        <v>6621661</v>
      </c>
      <c r="B295" t="s">
        <v>2818</v>
      </c>
      <c r="C295" t="str">
        <f>""</f>
        <v/>
      </c>
      <c r="D295" t="str">
        <f>"9781799863694"</f>
        <v>9781799863694</v>
      </c>
      <c r="E295" t="s">
        <v>138</v>
      </c>
      <c r="F295" t="s">
        <v>138</v>
      </c>
      <c r="G295" s="1">
        <v>44378</v>
      </c>
      <c r="H295" s="1">
        <v>44331</v>
      </c>
      <c r="K295" t="s">
        <v>2522</v>
      </c>
      <c r="L295" t="s">
        <v>104</v>
      </c>
      <c r="M295" t="s">
        <v>2819</v>
      </c>
      <c r="N295">
        <v>628</v>
      </c>
      <c r="O295" t="s">
        <v>2820</v>
      </c>
      <c r="P295" t="s">
        <v>18</v>
      </c>
    </row>
    <row r="296" spans="1:16" x14ac:dyDescent="0.35">
      <c r="A296">
        <v>6621666</v>
      </c>
      <c r="B296" t="s">
        <v>2821</v>
      </c>
      <c r="C296" t="str">
        <f>""</f>
        <v/>
      </c>
      <c r="D296" t="str">
        <f>"9781799861928"</f>
        <v>9781799861928</v>
      </c>
      <c r="E296" t="s">
        <v>138</v>
      </c>
      <c r="F296" t="s">
        <v>138</v>
      </c>
      <c r="G296" s="1">
        <v>44378</v>
      </c>
      <c r="H296" s="1">
        <v>44331</v>
      </c>
      <c r="K296" t="s">
        <v>2410</v>
      </c>
      <c r="L296" t="s">
        <v>38</v>
      </c>
      <c r="M296" t="s">
        <v>2411</v>
      </c>
      <c r="N296">
        <v>305</v>
      </c>
      <c r="O296" t="s">
        <v>2822</v>
      </c>
      <c r="P296" t="s">
        <v>18</v>
      </c>
    </row>
    <row r="297" spans="1:16" x14ac:dyDescent="0.35">
      <c r="A297">
        <v>6628724</v>
      </c>
      <c r="B297" t="s">
        <v>2823</v>
      </c>
      <c r="C297" t="str">
        <f>""</f>
        <v/>
      </c>
      <c r="D297" t="str">
        <f>"9781799863014"</f>
        <v>9781799863014</v>
      </c>
      <c r="E297" t="s">
        <v>138</v>
      </c>
      <c r="F297" t="s">
        <v>138</v>
      </c>
      <c r="G297" s="1">
        <v>44378</v>
      </c>
      <c r="H297" s="1">
        <v>44338</v>
      </c>
      <c r="K297" t="s">
        <v>2824</v>
      </c>
      <c r="L297" t="s">
        <v>41</v>
      </c>
      <c r="M297" t="s">
        <v>2825</v>
      </c>
      <c r="N297">
        <v>338.92700000000002</v>
      </c>
      <c r="O297" t="s">
        <v>2826</v>
      </c>
      <c r="P297" t="s">
        <v>18</v>
      </c>
    </row>
    <row r="298" spans="1:16" x14ac:dyDescent="0.35">
      <c r="A298">
        <v>6676516</v>
      </c>
      <c r="B298" t="s">
        <v>2827</v>
      </c>
      <c r="C298" t="str">
        <f>"9789004467798"</f>
        <v>9789004467798</v>
      </c>
      <c r="D298" t="str">
        <f>"9789004467804"</f>
        <v>9789004467804</v>
      </c>
      <c r="E298" t="s">
        <v>228</v>
      </c>
      <c r="F298" t="s">
        <v>228</v>
      </c>
      <c r="G298" s="1">
        <v>44378</v>
      </c>
      <c r="H298" s="1">
        <v>44390</v>
      </c>
      <c r="I298">
        <v>1</v>
      </c>
      <c r="J298" t="s">
        <v>2828</v>
      </c>
      <c r="K298" t="s">
        <v>2829</v>
      </c>
      <c r="L298" t="s">
        <v>30</v>
      </c>
      <c r="M298" t="s">
        <v>2830</v>
      </c>
      <c r="N298">
        <v>378.01</v>
      </c>
      <c r="O298" t="s">
        <v>2831</v>
      </c>
      <c r="P298" t="s">
        <v>18</v>
      </c>
    </row>
    <row r="299" spans="1:16" x14ac:dyDescent="0.35">
      <c r="A299">
        <v>6681518</v>
      </c>
      <c r="B299" t="s">
        <v>2832</v>
      </c>
      <c r="C299" t="str">
        <f>"9789004459823"</f>
        <v>9789004459823</v>
      </c>
      <c r="D299" t="str">
        <f>"9789004459892"</f>
        <v>9789004459892</v>
      </c>
      <c r="E299" t="s">
        <v>228</v>
      </c>
      <c r="F299" t="s">
        <v>228</v>
      </c>
      <c r="G299" s="1">
        <v>44378</v>
      </c>
      <c r="H299" s="1">
        <v>44400</v>
      </c>
      <c r="I299">
        <v>1</v>
      </c>
      <c r="K299" t="s">
        <v>2833</v>
      </c>
      <c r="L299" t="s">
        <v>23</v>
      </c>
      <c r="M299" t="s">
        <v>2834</v>
      </c>
      <c r="N299">
        <v>341</v>
      </c>
      <c r="O299" t="s">
        <v>183</v>
      </c>
      <c r="P299" t="s">
        <v>18</v>
      </c>
    </row>
    <row r="300" spans="1:16" x14ac:dyDescent="0.35">
      <c r="A300">
        <v>6631721</v>
      </c>
      <c r="B300" t="s">
        <v>2835</v>
      </c>
      <c r="C300" t="str">
        <f>"9781398600126"</f>
        <v>9781398600126</v>
      </c>
      <c r="D300" t="str">
        <f>"9781398600133"</f>
        <v>9781398600133</v>
      </c>
      <c r="E300" t="s">
        <v>215</v>
      </c>
      <c r="F300" t="s">
        <v>215</v>
      </c>
      <c r="G300" s="1">
        <v>44376</v>
      </c>
      <c r="H300" s="1">
        <v>44344</v>
      </c>
      <c r="I300">
        <v>2</v>
      </c>
      <c r="K300" t="s">
        <v>2836</v>
      </c>
      <c r="L300" t="s">
        <v>41</v>
      </c>
      <c r="M300" t="s">
        <v>2837</v>
      </c>
      <c r="N300">
        <v>338.47663999999997</v>
      </c>
      <c r="O300" t="s">
        <v>2838</v>
      </c>
      <c r="P300" t="s">
        <v>18</v>
      </c>
    </row>
    <row r="301" spans="1:16" x14ac:dyDescent="0.35">
      <c r="A301">
        <v>6680471</v>
      </c>
      <c r="B301" t="s">
        <v>2839</v>
      </c>
      <c r="C301" t="str">
        <f>""</f>
        <v/>
      </c>
      <c r="D301" t="str">
        <f>"9781802622829"</f>
        <v>9781802622829</v>
      </c>
      <c r="E301" t="s">
        <v>187</v>
      </c>
      <c r="F301" t="s">
        <v>187</v>
      </c>
      <c r="G301" s="1">
        <v>44376</v>
      </c>
      <c r="H301" s="1">
        <v>44398</v>
      </c>
      <c r="J301" t="s">
        <v>2437</v>
      </c>
      <c r="K301" t="s">
        <v>2840</v>
      </c>
      <c r="L301" t="s">
        <v>206</v>
      </c>
      <c r="M301" t="s">
        <v>2841</v>
      </c>
      <c r="N301">
        <v>629.13435100000004</v>
      </c>
      <c r="O301" t="s">
        <v>2842</v>
      </c>
      <c r="P301" t="s">
        <v>18</v>
      </c>
    </row>
    <row r="302" spans="1:16" x14ac:dyDescent="0.35">
      <c r="A302">
        <v>6846045</v>
      </c>
      <c r="B302" t="s">
        <v>2843</v>
      </c>
      <c r="C302" t="str">
        <f>"9789264726017"</f>
        <v>9789264726017</v>
      </c>
      <c r="D302" t="str">
        <f>"9789264430105"</f>
        <v>9789264430105</v>
      </c>
      <c r="E302" t="s">
        <v>366</v>
      </c>
      <c r="F302" t="s">
        <v>201</v>
      </c>
      <c r="G302" s="1">
        <v>44376</v>
      </c>
      <c r="H302" s="1">
        <v>44572</v>
      </c>
      <c r="I302">
        <v>1</v>
      </c>
      <c r="K302" t="s">
        <v>201</v>
      </c>
      <c r="L302" t="s">
        <v>42</v>
      </c>
      <c r="O302" t="s">
        <v>2844</v>
      </c>
      <c r="P302" t="s">
        <v>18</v>
      </c>
    </row>
    <row r="303" spans="1:16" x14ac:dyDescent="0.35">
      <c r="A303">
        <v>6645448</v>
      </c>
      <c r="B303" t="s">
        <v>2845</v>
      </c>
      <c r="C303" t="str">
        <f>"9781793649843"</f>
        <v>9781793649843</v>
      </c>
      <c r="D303" t="str">
        <f>"9781793649850"</f>
        <v>9781793649850</v>
      </c>
      <c r="E303" t="s">
        <v>446</v>
      </c>
      <c r="F303" t="s">
        <v>446</v>
      </c>
      <c r="G303" s="1">
        <v>44375</v>
      </c>
      <c r="H303" s="1">
        <v>44369</v>
      </c>
      <c r="K303" t="s">
        <v>2846</v>
      </c>
      <c r="L303" t="s">
        <v>41</v>
      </c>
      <c r="M303" t="s">
        <v>2847</v>
      </c>
      <c r="N303">
        <v>338.9</v>
      </c>
      <c r="O303" t="s">
        <v>2848</v>
      </c>
      <c r="P303" t="s">
        <v>18</v>
      </c>
    </row>
    <row r="304" spans="1:16" x14ac:dyDescent="0.35">
      <c r="A304">
        <v>6680461</v>
      </c>
      <c r="B304" t="s">
        <v>2849</v>
      </c>
      <c r="C304" t="str">
        <f>""</f>
        <v/>
      </c>
      <c r="D304" t="str">
        <f>"9781802622966"</f>
        <v>9781802622966</v>
      </c>
      <c r="E304" t="s">
        <v>187</v>
      </c>
      <c r="F304" t="s">
        <v>187</v>
      </c>
      <c r="G304" s="1">
        <v>44375</v>
      </c>
      <c r="H304" s="1">
        <v>44398</v>
      </c>
      <c r="J304" t="s">
        <v>2259</v>
      </c>
      <c r="K304" t="s">
        <v>2850</v>
      </c>
      <c r="L304" t="s">
        <v>192</v>
      </c>
      <c r="M304" t="s">
        <v>2851</v>
      </c>
      <c r="N304">
        <v>338.47910000000002</v>
      </c>
      <c r="O304" t="s">
        <v>327</v>
      </c>
      <c r="P304" t="s">
        <v>18</v>
      </c>
    </row>
    <row r="305" spans="1:16" x14ac:dyDescent="0.35">
      <c r="A305">
        <v>6846042</v>
      </c>
      <c r="B305" t="s">
        <v>2852</v>
      </c>
      <c r="C305" t="str">
        <f>"9789264428928"</f>
        <v>9789264428928</v>
      </c>
      <c r="D305" t="str">
        <f>"9789264923515"</f>
        <v>9789264923515</v>
      </c>
      <c r="E305" t="s">
        <v>366</v>
      </c>
      <c r="F305" t="s">
        <v>201</v>
      </c>
      <c r="G305" s="1">
        <v>44375</v>
      </c>
      <c r="H305" s="1">
        <v>44572</v>
      </c>
      <c r="I305">
        <v>1</v>
      </c>
      <c r="K305" t="s">
        <v>201</v>
      </c>
      <c r="L305" t="s">
        <v>28</v>
      </c>
      <c r="P305" t="s">
        <v>18</v>
      </c>
    </row>
    <row r="306" spans="1:16" x14ac:dyDescent="0.35">
      <c r="A306">
        <v>6637158</v>
      </c>
      <c r="B306" t="s">
        <v>2853</v>
      </c>
      <c r="C306" t="str">
        <f>"9781799839880"</f>
        <v>9781799839880</v>
      </c>
      <c r="D306" t="str">
        <f>"9781799839897"</f>
        <v>9781799839897</v>
      </c>
      <c r="E306" t="s">
        <v>138</v>
      </c>
      <c r="F306" t="s">
        <v>1769</v>
      </c>
      <c r="G306" s="1">
        <v>44372</v>
      </c>
      <c r="H306" s="1">
        <v>44352</v>
      </c>
      <c r="K306" t="s">
        <v>2854</v>
      </c>
      <c r="L306" t="s">
        <v>28</v>
      </c>
      <c r="M306" t="s">
        <v>2855</v>
      </c>
      <c r="N306" t="s">
        <v>54</v>
      </c>
      <c r="O306" t="s">
        <v>2272</v>
      </c>
      <c r="P306" t="s">
        <v>18</v>
      </c>
    </row>
    <row r="307" spans="1:16" x14ac:dyDescent="0.35">
      <c r="A307">
        <v>6640512</v>
      </c>
      <c r="B307" t="s">
        <v>2856</v>
      </c>
      <c r="C307" t="str">
        <f>"9781799879671"</f>
        <v>9781799879671</v>
      </c>
      <c r="D307" t="str">
        <f>"9781799879695"</f>
        <v>9781799879695</v>
      </c>
      <c r="E307" t="s">
        <v>138</v>
      </c>
      <c r="F307" t="s">
        <v>1769</v>
      </c>
      <c r="G307" s="1">
        <v>44372</v>
      </c>
      <c r="H307" s="1">
        <v>44359</v>
      </c>
      <c r="K307" t="s">
        <v>2857</v>
      </c>
      <c r="L307" t="s">
        <v>26</v>
      </c>
      <c r="M307" t="s">
        <v>2858</v>
      </c>
      <c r="N307">
        <v>332</v>
      </c>
      <c r="O307" t="s">
        <v>2859</v>
      </c>
      <c r="P307" t="s">
        <v>18</v>
      </c>
    </row>
    <row r="308" spans="1:16" x14ac:dyDescent="0.35">
      <c r="A308">
        <v>6644706</v>
      </c>
      <c r="B308" t="s">
        <v>2860</v>
      </c>
      <c r="C308" t="str">
        <f>"9781799875130"</f>
        <v>9781799875130</v>
      </c>
      <c r="D308" t="str">
        <f>"9781799875161"</f>
        <v>9781799875161</v>
      </c>
      <c r="E308" t="s">
        <v>138</v>
      </c>
      <c r="F308" t="s">
        <v>1769</v>
      </c>
      <c r="G308" s="1">
        <v>44372</v>
      </c>
      <c r="H308" s="1">
        <v>44366</v>
      </c>
      <c r="K308" t="s">
        <v>2861</v>
      </c>
      <c r="L308" t="s">
        <v>41</v>
      </c>
      <c r="M308" t="s">
        <v>2862</v>
      </c>
      <c r="N308" t="s">
        <v>2863</v>
      </c>
      <c r="O308" t="s">
        <v>2864</v>
      </c>
      <c r="P308" t="s">
        <v>18</v>
      </c>
    </row>
    <row r="309" spans="1:16" x14ac:dyDescent="0.35">
      <c r="A309">
        <v>6647218</v>
      </c>
      <c r="B309" t="s">
        <v>2865</v>
      </c>
      <c r="C309" t="str">
        <f>"9780081029718"</f>
        <v>9780081029718</v>
      </c>
      <c r="D309" t="str">
        <f>"9780081029725"</f>
        <v>9780081029725</v>
      </c>
      <c r="E309" t="s">
        <v>1699</v>
      </c>
      <c r="F309" t="s">
        <v>1699</v>
      </c>
      <c r="G309" s="1">
        <v>44372</v>
      </c>
      <c r="H309" s="1">
        <v>44391</v>
      </c>
      <c r="J309" t="s">
        <v>291</v>
      </c>
      <c r="K309" t="s">
        <v>2866</v>
      </c>
      <c r="L309" t="s">
        <v>163</v>
      </c>
      <c r="M309" t="s">
        <v>2867</v>
      </c>
      <c r="N309">
        <v>363.738</v>
      </c>
      <c r="O309" t="s">
        <v>2868</v>
      </c>
      <c r="P309" t="s">
        <v>18</v>
      </c>
    </row>
    <row r="310" spans="1:16" x14ac:dyDescent="0.35">
      <c r="A310">
        <v>6647235</v>
      </c>
      <c r="B310" t="s">
        <v>2869</v>
      </c>
      <c r="C310" t="str">
        <f>"9780128229316"</f>
        <v>9780128229316</v>
      </c>
      <c r="D310" t="str">
        <f>"9780128230985"</f>
        <v>9780128230985</v>
      </c>
      <c r="E310" t="s">
        <v>1699</v>
      </c>
      <c r="F310" t="s">
        <v>1699</v>
      </c>
      <c r="G310" s="1">
        <v>44372</v>
      </c>
      <c r="H310" s="1">
        <v>44376</v>
      </c>
      <c r="K310" t="s">
        <v>2870</v>
      </c>
      <c r="L310" t="s">
        <v>168</v>
      </c>
      <c r="M310" t="s">
        <v>2871</v>
      </c>
      <c r="N310">
        <v>634.9</v>
      </c>
      <c r="O310" t="s">
        <v>2872</v>
      </c>
      <c r="P310" t="s">
        <v>18</v>
      </c>
    </row>
    <row r="311" spans="1:16" x14ac:dyDescent="0.35">
      <c r="A311">
        <v>6647258</v>
      </c>
      <c r="B311" t="s">
        <v>2873</v>
      </c>
      <c r="C311" t="str">
        <f>"9780323857802"</f>
        <v>9780323857802</v>
      </c>
      <c r="D311" t="str">
        <f>"9780323909242"</f>
        <v>9780323909242</v>
      </c>
      <c r="E311" t="s">
        <v>190</v>
      </c>
      <c r="F311" t="s">
        <v>191</v>
      </c>
      <c r="G311" s="1">
        <v>44372</v>
      </c>
      <c r="H311" s="1">
        <v>44376</v>
      </c>
      <c r="K311" t="s">
        <v>2874</v>
      </c>
      <c r="L311" t="s">
        <v>112</v>
      </c>
      <c r="M311" t="s">
        <v>2875</v>
      </c>
      <c r="N311">
        <v>362.19624140000002</v>
      </c>
      <c r="O311" t="s">
        <v>2876</v>
      </c>
      <c r="P311" t="s">
        <v>18</v>
      </c>
    </row>
    <row r="312" spans="1:16" x14ac:dyDescent="0.35">
      <c r="A312">
        <v>6647394</v>
      </c>
      <c r="B312" t="s">
        <v>2877</v>
      </c>
      <c r="C312" t="str">
        <f>"9781839104640"</f>
        <v>9781839104640</v>
      </c>
      <c r="D312" t="str">
        <f>"9781839104657"</f>
        <v>9781839104657</v>
      </c>
      <c r="E312" t="s">
        <v>2080</v>
      </c>
      <c r="F312" t="s">
        <v>2080</v>
      </c>
      <c r="G312" s="1">
        <v>44372</v>
      </c>
      <c r="H312" s="1">
        <v>44376</v>
      </c>
      <c r="K312" t="s">
        <v>2878</v>
      </c>
      <c r="L312" t="s">
        <v>26</v>
      </c>
      <c r="M312" t="s">
        <v>2096</v>
      </c>
      <c r="N312">
        <v>338.92700000000002</v>
      </c>
      <c r="O312" t="s">
        <v>2879</v>
      </c>
      <c r="P312" t="s">
        <v>18</v>
      </c>
    </row>
    <row r="313" spans="1:16" x14ac:dyDescent="0.35">
      <c r="A313">
        <v>6675061</v>
      </c>
      <c r="B313" t="s">
        <v>2880</v>
      </c>
      <c r="C313" t="str">
        <f>"9781799879510"</f>
        <v>9781799879510</v>
      </c>
      <c r="D313" t="str">
        <f>"9781799879541"</f>
        <v>9781799879541</v>
      </c>
      <c r="E313" t="s">
        <v>138</v>
      </c>
      <c r="F313" t="s">
        <v>1769</v>
      </c>
      <c r="G313" s="1">
        <v>44372</v>
      </c>
      <c r="H313" s="1">
        <v>44389</v>
      </c>
      <c r="K313" t="s">
        <v>2881</v>
      </c>
      <c r="L313" t="s">
        <v>28</v>
      </c>
      <c r="M313" t="s">
        <v>2882</v>
      </c>
      <c r="N313" t="s">
        <v>54</v>
      </c>
      <c r="O313" t="s">
        <v>2883</v>
      </c>
      <c r="P313" t="s">
        <v>18</v>
      </c>
    </row>
    <row r="314" spans="1:16" x14ac:dyDescent="0.35">
      <c r="A314">
        <v>6675074</v>
      </c>
      <c r="B314" t="s">
        <v>2884</v>
      </c>
      <c r="C314" t="str">
        <f>"9781799884262"</f>
        <v>9781799884262</v>
      </c>
      <c r="D314" t="str">
        <f>"9781799884293"</f>
        <v>9781799884293</v>
      </c>
      <c r="E314" t="s">
        <v>138</v>
      </c>
      <c r="F314" t="s">
        <v>1764</v>
      </c>
      <c r="G314" s="1">
        <v>44372</v>
      </c>
      <c r="H314" s="1">
        <v>44389</v>
      </c>
      <c r="K314" t="s">
        <v>1778</v>
      </c>
      <c r="L314" t="s">
        <v>26</v>
      </c>
      <c r="M314" t="s">
        <v>2885</v>
      </c>
      <c r="N314">
        <v>338.92700000000002</v>
      </c>
      <c r="O314" t="s">
        <v>2886</v>
      </c>
      <c r="P314" t="s">
        <v>18</v>
      </c>
    </row>
    <row r="315" spans="1:16" x14ac:dyDescent="0.35">
      <c r="A315">
        <v>6676572</v>
      </c>
      <c r="B315" t="s">
        <v>2887</v>
      </c>
      <c r="C315" t="str">
        <f>"9781681088518"</f>
        <v>9781681088518</v>
      </c>
      <c r="D315" t="str">
        <f>"9781681088501"</f>
        <v>9781681088501</v>
      </c>
      <c r="E315" t="s">
        <v>475</v>
      </c>
      <c r="F315" t="s">
        <v>475</v>
      </c>
      <c r="G315" s="1">
        <v>44372</v>
      </c>
      <c r="H315" s="1">
        <v>44390</v>
      </c>
      <c r="I315">
        <v>1</v>
      </c>
      <c r="J315" t="s">
        <v>2888</v>
      </c>
      <c r="K315" t="s">
        <v>2889</v>
      </c>
      <c r="L315" t="s">
        <v>61</v>
      </c>
      <c r="P315" t="s">
        <v>18</v>
      </c>
    </row>
    <row r="316" spans="1:16" x14ac:dyDescent="0.35">
      <c r="A316">
        <v>6686697</v>
      </c>
      <c r="B316" t="s">
        <v>2890</v>
      </c>
      <c r="C316" t="str">
        <f>"9781799880691"</f>
        <v>9781799880691</v>
      </c>
      <c r="D316" t="str">
        <f>"9781799880714"</f>
        <v>9781799880714</v>
      </c>
      <c r="E316" t="s">
        <v>138</v>
      </c>
      <c r="F316" t="s">
        <v>1769</v>
      </c>
      <c r="G316" s="1">
        <v>44372</v>
      </c>
      <c r="H316" s="1">
        <v>44408</v>
      </c>
      <c r="K316" t="s">
        <v>2891</v>
      </c>
      <c r="L316" t="s">
        <v>28</v>
      </c>
      <c r="M316" t="s">
        <v>2892</v>
      </c>
      <c r="N316" t="s">
        <v>331</v>
      </c>
      <c r="O316" t="s">
        <v>2893</v>
      </c>
      <c r="P316" t="s">
        <v>18</v>
      </c>
    </row>
    <row r="317" spans="1:16" x14ac:dyDescent="0.35">
      <c r="A317">
        <v>6692385</v>
      </c>
      <c r="B317" t="s">
        <v>2894</v>
      </c>
      <c r="C317" t="str">
        <f>"9781799881858"</f>
        <v>9781799881858</v>
      </c>
      <c r="D317" t="str">
        <f>"9781799881872"</f>
        <v>9781799881872</v>
      </c>
      <c r="E317" t="s">
        <v>138</v>
      </c>
      <c r="F317" t="s">
        <v>1769</v>
      </c>
      <c r="G317" s="1">
        <v>44372</v>
      </c>
      <c r="H317" s="1">
        <v>44415</v>
      </c>
      <c r="K317" t="s">
        <v>2895</v>
      </c>
      <c r="L317" t="s">
        <v>28</v>
      </c>
      <c r="M317" t="s">
        <v>2896</v>
      </c>
      <c r="N317">
        <v>658</v>
      </c>
      <c r="O317" t="s">
        <v>285</v>
      </c>
      <c r="P317" t="s">
        <v>18</v>
      </c>
    </row>
    <row r="318" spans="1:16" x14ac:dyDescent="0.35">
      <c r="A318">
        <v>6846044</v>
      </c>
      <c r="B318" t="s">
        <v>2897</v>
      </c>
      <c r="C318" t="str">
        <f>"9789264880030"</f>
        <v>9789264880030</v>
      </c>
      <c r="D318" t="str">
        <f>"9789264779501"</f>
        <v>9789264779501</v>
      </c>
      <c r="E318" t="s">
        <v>366</v>
      </c>
      <c r="F318" t="s">
        <v>201</v>
      </c>
      <c r="G318" s="1">
        <v>44372</v>
      </c>
      <c r="H318" s="1">
        <v>44572</v>
      </c>
      <c r="I318">
        <v>1</v>
      </c>
      <c r="K318" t="s">
        <v>2898</v>
      </c>
      <c r="L318" t="s">
        <v>33</v>
      </c>
      <c r="P318" t="s">
        <v>18</v>
      </c>
    </row>
    <row r="319" spans="1:16" x14ac:dyDescent="0.35">
      <c r="A319">
        <v>6645493</v>
      </c>
      <c r="B319" t="s">
        <v>2899</v>
      </c>
      <c r="C319" t="str">
        <f>"9780128243428"</f>
        <v>9780128243428</v>
      </c>
      <c r="D319" t="str">
        <f>"9780128243435"</f>
        <v>9780128243435</v>
      </c>
      <c r="E319" t="s">
        <v>1699</v>
      </c>
      <c r="F319" t="s">
        <v>1699</v>
      </c>
      <c r="G319" s="1">
        <v>44371</v>
      </c>
      <c r="H319" s="1">
        <v>44369</v>
      </c>
      <c r="K319" t="s">
        <v>2900</v>
      </c>
      <c r="L319" t="s">
        <v>368</v>
      </c>
      <c r="M319" t="s">
        <v>2901</v>
      </c>
      <c r="N319">
        <v>333.72</v>
      </c>
      <c r="O319" t="s">
        <v>2902</v>
      </c>
      <c r="P319" t="s">
        <v>18</v>
      </c>
    </row>
    <row r="320" spans="1:16" x14ac:dyDescent="0.35">
      <c r="A320">
        <v>6647233</v>
      </c>
      <c r="B320" t="s">
        <v>2903</v>
      </c>
      <c r="C320" t="str">
        <f>"9780323851954"</f>
        <v>9780323851954</v>
      </c>
      <c r="D320" t="str">
        <f>"9780323851961"</f>
        <v>9780323851961</v>
      </c>
      <c r="E320" t="s">
        <v>1699</v>
      </c>
      <c r="F320" t="s">
        <v>1699</v>
      </c>
      <c r="G320" s="1">
        <v>44370</v>
      </c>
      <c r="H320" s="1">
        <v>44434</v>
      </c>
      <c r="K320" t="s">
        <v>2904</v>
      </c>
      <c r="L320" t="s">
        <v>38</v>
      </c>
      <c r="M320" t="s">
        <v>2905</v>
      </c>
      <c r="N320">
        <v>363.346</v>
      </c>
      <c r="O320" t="s">
        <v>2906</v>
      </c>
      <c r="P320" t="s">
        <v>18</v>
      </c>
    </row>
    <row r="321" spans="1:16" x14ac:dyDescent="0.35">
      <c r="A321">
        <v>6647257</v>
      </c>
      <c r="B321" t="s">
        <v>2907</v>
      </c>
      <c r="C321" t="str">
        <f>"9780128233801"</f>
        <v>9780128233801</v>
      </c>
      <c r="D321" t="str">
        <f>"9780128233795"</f>
        <v>9780128233795</v>
      </c>
      <c r="E321" t="s">
        <v>1699</v>
      </c>
      <c r="F321" t="s">
        <v>1699</v>
      </c>
      <c r="G321" s="1">
        <v>44370</v>
      </c>
      <c r="H321" s="1">
        <v>44391</v>
      </c>
      <c r="K321" t="s">
        <v>2908</v>
      </c>
      <c r="L321" t="s">
        <v>2909</v>
      </c>
      <c r="M321" t="s">
        <v>2910</v>
      </c>
      <c r="N321">
        <v>665.5</v>
      </c>
      <c r="O321" t="s">
        <v>2911</v>
      </c>
      <c r="P321" t="s">
        <v>18</v>
      </c>
    </row>
    <row r="322" spans="1:16" x14ac:dyDescent="0.35">
      <c r="A322">
        <v>6639515</v>
      </c>
      <c r="B322" t="s">
        <v>2912</v>
      </c>
      <c r="C322" t="str">
        <f>"9781475859362"</f>
        <v>9781475859362</v>
      </c>
      <c r="D322" t="str">
        <f>"9781475859386"</f>
        <v>9781475859386</v>
      </c>
      <c r="E322" t="s">
        <v>443</v>
      </c>
      <c r="F322" t="s">
        <v>443</v>
      </c>
      <c r="G322" s="1">
        <v>44366</v>
      </c>
      <c r="H322" s="1">
        <v>44358</v>
      </c>
      <c r="I322">
        <v>2</v>
      </c>
      <c r="K322" t="s">
        <v>2913</v>
      </c>
      <c r="L322" t="s">
        <v>30</v>
      </c>
      <c r="M322" t="s">
        <v>2914</v>
      </c>
      <c r="N322" t="s">
        <v>239</v>
      </c>
      <c r="O322" t="s">
        <v>2915</v>
      </c>
      <c r="P322" t="s">
        <v>18</v>
      </c>
    </row>
    <row r="323" spans="1:16" x14ac:dyDescent="0.35">
      <c r="A323">
        <v>6644876</v>
      </c>
      <c r="B323" t="s">
        <v>2916</v>
      </c>
      <c r="C323" t="str">
        <f>"9780128215555"</f>
        <v>9780128215555</v>
      </c>
      <c r="D323" t="str">
        <f>"9780128232293"</f>
        <v>9780128232293</v>
      </c>
      <c r="E323" t="s">
        <v>1699</v>
      </c>
      <c r="F323" t="s">
        <v>1699</v>
      </c>
      <c r="G323" s="1">
        <v>44365</v>
      </c>
      <c r="H323" s="1">
        <v>44367</v>
      </c>
      <c r="K323" t="s">
        <v>2917</v>
      </c>
      <c r="L323" t="s">
        <v>105</v>
      </c>
      <c r="M323" t="s">
        <v>2918</v>
      </c>
      <c r="N323" t="s">
        <v>2919</v>
      </c>
      <c r="O323" t="s">
        <v>2920</v>
      </c>
      <c r="P323" t="s">
        <v>18</v>
      </c>
    </row>
    <row r="324" spans="1:16" x14ac:dyDescent="0.35">
      <c r="A324">
        <v>6647374</v>
      </c>
      <c r="B324" t="s">
        <v>2921</v>
      </c>
      <c r="C324" t="str">
        <f>"9781800881068"</f>
        <v>9781800881068</v>
      </c>
      <c r="D324" t="str">
        <f>"9781800881075"</f>
        <v>9781800881075</v>
      </c>
      <c r="E324" t="s">
        <v>2080</v>
      </c>
      <c r="F324" t="s">
        <v>2080</v>
      </c>
      <c r="G324" s="1">
        <v>44365</v>
      </c>
      <c r="H324" s="1">
        <v>44376</v>
      </c>
      <c r="J324" t="s">
        <v>2922</v>
      </c>
      <c r="K324" t="s">
        <v>2923</v>
      </c>
      <c r="L324" t="s">
        <v>38</v>
      </c>
      <c r="M324" t="s">
        <v>2924</v>
      </c>
      <c r="N324">
        <v>307.76094999999998</v>
      </c>
      <c r="O324" t="s">
        <v>2925</v>
      </c>
      <c r="P324" t="s">
        <v>18</v>
      </c>
    </row>
    <row r="325" spans="1:16" x14ac:dyDescent="0.35">
      <c r="A325">
        <v>6682790</v>
      </c>
      <c r="B325" t="s">
        <v>2926</v>
      </c>
      <c r="C325" t="str">
        <f>"9781799870234"</f>
        <v>9781799870234</v>
      </c>
      <c r="D325" t="str">
        <f>"9781799870265"</f>
        <v>9781799870265</v>
      </c>
      <c r="E325" t="s">
        <v>138</v>
      </c>
      <c r="F325" t="s">
        <v>1764</v>
      </c>
      <c r="G325" s="1">
        <v>44365</v>
      </c>
      <c r="H325" s="1">
        <v>44401</v>
      </c>
      <c r="K325" t="s">
        <v>2927</v>
      </c>
      <c r="L325" t="s">
        <v>2928</v>
      </c>
      <c r="M325" t="s">
        <v>2929</v>
      </c>
      <c r="N325">
        <v>720.47</v>
      </c>
      <c r="O325" t="s">
        <v>2930</v>
      </c>
      <c r="P325" t="s">
        <v>18</v>
      </c>
    </row>
    <row r="326" spans="1:16" x14ac:dyDescent="0.35">
      <c r="A326">
        <v>6823830</v>
      </c>
      <c r="B326" t="s">
        <v>2931</v>
      </c>
      <c r="C326" t="str">
        <f>"9789264951860"</f>
        <v>9789264951860</v>
      </c>
      <c r="D326" t="str">
        <f>"9789264752788"</f>
        <v>9789264752788</v>
      </c>
      <c r="E326" t="s">
        <v>200</v>
      </c>
      <c r="F326" t="s">
        <v>200</v>
      </c>
      <c r="G326" s="1">
        <v>44365</v>
      </c>
      <c r="H326" s="1">
        <v>44541</v>
      </c>
      <c r="I326">
        <v>1</v>
      </c>
      <c r="K326" t="s">
        <v>2932</v>
      </c>
      <c r="L326" t="s">
        <v>33</v>
      </c>
      <c r="P326" t="s">
        <v>18</v>
      </c>
    </row>
    <row r="327" spans="1:16" x14ac:dyDescent="0.35">
      <c r="A327">
        <v>6607307</v>
      </c>
      <c r="B327" t="s">
        <v>2933</v>
      </c>
      <c r="C327" t="str">
        <f>"9781786996558"</f>
        <v>9781786996558</v>
      </c>
      <c r="D327" t="str">
        <f>"9781786996572"</f>
        <v>9781786996572</v>
      </c>
      <c r="E327" t="s">
        <v>392</v>
      </c>
      <c r="F327" t="s">
        <v>393</v>
      </c>
      <c r="G327" s="1">
        <v>44364</v>
      </c>
      <c r="H327" s="1">
        <v>44325</v>
      </c>
      <c r="I327">
        <v>1</v>
      </c>
      <c r="J327" t="s">
        <v>2934</v>
      </c>
      <c r="K327" t="s">
        <v>2935</v>
      </c>
      <c r="L327" t="s">
        <v>469</v>
      </c>
      <c r="M327" t="s">
        <v>2936</v>
      </c>
      <c r="N327">
        <v>306.34909666999999</v>
      </c>
      <c r="O327" t="s">
        <v>2937</v>
      </c>
      <c r="P327" t="s">
        <v>18</v>
      </c>
    </row>
    <row r="328" spans="1:16" x14ac:dyDescent="0.35">
      <c r="A328">
        <v>6640836</v>
      </c>
      <c r="B328" t="s">
        <v>2938</v>
      </c>
      <c r="C328" t="str">
        <f>""</f>
        <v/>
      </c>
      <c r="D328" t="str">
        <f>"9781350191853"</f>
        <v>9781350191853</v>
      </c>
      <c r="E328" t="s">
        <v>354</v>
      </c>
      <c r="F328" t="s">
        <v>355</v>
      </c>
      <c r="G328" s="1">
        <v>44364</v>
      </c>
      <c r="H328" s="1">
        <v>44360</v>
      </c>
      <c r="K328" t="s">
        <v>2939</v>
      </c>
      <c r="L328" t="s">
        <v>41</v>
      </c>
      <c r="N328">
        <v>338.27280000000002</v>
      </c>
      <c r="P328" t="s">
        <v>18</v>
      </c>
    </row>
    <row r="329" spans="1:16" x14ac:dyDescent="0.35">
      <c r="A329">
        <v>6608898</v>
      </c>
      <c r="B329" t="s">
        <v>2940</v>
      </c>
      <c r="C329" t="str">
        <f>"9781633886667"</f>
        <v>9781633886667</v>
      </c>
      <c r="D329" t="str">
        <f>"9781633886674"</f>
        <v>9781633886674</v>
      </c>
      <c r="E329" t="s">
        <v>2941</v>
      </c>
      <c r="F329" t="s">
        <v>2941</v>
      </c>
      <c r="G329" s="1">
        <v>44362</v>
      </c>
      <c r="H329" s="1">
        <v>44328</v>
      </c>
      <c r="K329" t="s">
        <v>2942</v>
      </c>
      <c r="L329" t="s">
        <v>92</v>
      </c>
      <c r="M329" t="s">
        <v>2943</v>
      </c>
      <c r="N329" t="s">
        <v>2944</v>
      </c>
      <c r="O329" t="s">
        <v>2945</v>
      </c>
      <c r="P329" t="s">
        <v>18</v>
      </c>
    </row>
    <row r="330" spans="1:16" x14ac:dyDescent="0.35">
      <c r="A330">
        <v>6639657</v>
      </c>
      <c r="B330" t="s">
        <v>2946</v>
      </c>
      <c r="C330" t="str">
        <f>"9781538142516"</f>
        <v>9781538142516</v>
      </c>
      <c r="D330" t="str">
        <f>"9781538162965"</f>
        <v>9781538162965</v>
      </c>
      <c r="E330" t="s">
        <v>443</v>
      </c>
      <c r="F330" t="s">
        <v>443</v>
      </c>
      <c r="G330" s="1">
        <v>44362</v>
      </c>
      <c r="H330" s="1">
        <v>44358</v>
      </c>
      <c r="K330" t="s">
        <v>2947</v>
      </c>
      <c r="L330" t="s">
        <v>27</v>
      </c>
      <c r="M330" t="s">
        <v>2948</v>
      </c>
      <c r="N330" t="s">
        <v>2949</v>
      </c>
      <c r="O330" t="s">
        <v>2950</v>
      </c>
      <c r="P330" t="s">
        <v>18</v>
      </c>
    </row>
    <row r="331" spans="1:16" x14ac:dyDescent="0.35">
      <c r="A331">
        <v>6552148</v>
      </c>
      <c r="B331" t="s">
        <v>2951</v>
      </c>
      <c r="C331" t="str">
        <f>"9781799870623"</f>
        <v>9781799870623</v>
      </c>
      <c r="D331" t="str">
        <f>"9781799870654"</f>
        <v>9781799870654</v>
      </c>
      <c r="E331" t="s">
        <v>138</v>
      </c>
      <c r="F331" t="s">
        <v>1764</v>
      </c>
      <c r="G331" s="1">
        <v>44358</v>
      </c>
      <c r="H331" s="1">
        <v>44303</v>
      </c>
      <c r="K331" t="s">
        <v>2952</v>
      </c>
      <c r="L331" t="s">
        <v>113</v>
      </c>
      <c r="M331" t="s">
        <v>2953</v>
      </c>
      <c r="N331">
        <v>628.54999999999995</v>
      </c>
      <c r="O331" t="s">
        <v>2954</v>
      </c>
      <c r="P331" t="s">
        <v>18</v>
      </c>
    </row>
    <row r="332" spans="1:16" x14ac:dyDescent="0.35">
      <c r="A332">
        <v>6624805</v>
      </c>
      <c r="B332" t="s">
        <v>2955</v>
      </c>
      <c r="C332" t="str">
        <f>"9781800731080"</f>
        <v>9781800731080</v>
      </c>
      <c r="D332" t="str">
        <f>"9781800731097"</f>
        <v>9781800731097</v>
      </c>
      <c r="E332" t="s">
        <v>447</v>
      </c>
      <c r="F332" t="s">
        <v>447</v>
      </c>
      <c r="G332" s="1">
        <v>44358</v>
      </c>
      <c r="H332" s="1">
        <v>44335</v>
      </c>
      <c r="I332">
        <v>1</v>
      </c>
      <c r="K332" t="s">
        <v>2956</v>
      </c>
      <c r="L332" t="s">
        <v>202</v>
      </c>
      <c r="M332" t="s">
        <v>2957</v>
      </c>
      <c r="N332">
        <v>333.70979999999997</v>
      </c>
      <c r="P332" t="s">
        <v>18</v>
      </c>
    </row>
    <row r="333" spans="1:16" x14ac:dyDescent="0.35">
      <c r="A333">
        <v>6376173</v>
      </c>
      <c r="B333" t="s">
        <v>2958</v>
      </c>
      <c r="C333" t="str">
        <f>"9781786394842"</f>
        <v>9781786394842</v>
      </c>
      <c r="D333" t="str">
        <f>"9781786394866"</f>
        <v>9781786394866</v>
      </c>
      <c r="E333" t="s">
        <v>333</v>
      </c>
      <c r="F333" t="s">
        <v>333</v>
      </c>
      <c r="G333" s="1">
        <v>44357</v>
      </c>
      <c r="H333" s="1">
        <v>44127</v>
      </c>
      <c r="K333" t="s">
        <v>2959</v>
      </c>
      <c r="L333" t="s">
        <v>41</v>
      </c>
      <c r="M333" t="s">
        <v>2960</v>
      </c>
      <c r="N333">
        <v>338.19</v>
      </c>
      <c r="O333" t="s">
        <v>2961</v>
      </c>
      <c r="P333" t="s">
        <v>18</v>
      </c>
    </row>
    <row r="334" spans="1:16" x14ac:dyDescent="0.35">
      <c r="A334">
        <v>6636756</v>
      </c>
      <c r="B334" t="s">
        <v>2962</v>
      </c>
      <c r="C334" t="str">
        <f>"9780128226964"</f>
        <v>9780128226964</v>
      </c>
      <c r="D334" t="str">
        <f>"9780128232842"</f>
        <v>9780128232842</v>
      </c>
      <c r="E334" t="s">
        <v>1699</v>
      </c>
      <c r="F334" t="s">
        <v>1699</v>
      </c>
      <c r="G334" s="1">
        <v>44356</v>
      </c>
      <c r="H334" s="1">
        <v>44351</v>
      </c>
      <c r="K334" t="s">
        <v>2963</v>
      </c>
      <c r="L334" t="s">
        <v>118</v>
      </c>
      <c r="M334" t="s">
        <v>2964</v>
      </c>
      <c r="N334">
        <v>660.02859999999998</v>
      </c>
      <c r="O334" t="s">
        <v>2965</v>
      </c>
      <c r="P334" t="s">
        <v>18</v>
      </c>
    </row>
    <row r="335" spans="1:16" x14ac:dyDescent="0.35">
      <c r="A335">
        <v>6637077</v>
      </c>
      <c r="B335" t="s">
        <v>2966</v>
      </c>
      <c r="C335" t="str">
        <f>"9780128205495"</f>
        <v>9780128205495</v>
      </c>
      <c r="D335" t="str">
        <f>"9780128208953"</f>
        <v>9780128208953</v>
      </c>
      <c r="E335" t="s">
        <v>190</v>
      </c>
      <c r="F335" t="s">
        <v>280</v>
      </c>
      <c r="G335" s="1">
        <v>44356</v>
      </c>
      <c r="H335" s="1">
        <v>44352</v>
      </c>
      <c r="J335" t="s">
        <v>487</v>
      </c>
      <c r="K335" t="s">
        <v>2967</v>
      </c>
      <c r="L335" t="s">
        <v>26</v>
      </c>
      <c r="M335" t="s">
        <v>2968</v>
      </c>
      <c r="N335">
        <v>338.92700000000002</v>
      </c>
      <c r="O335" t="s">
        <v>503</v>
      </c>
      <c r="P335" t="s">
        <v>18</v>
      </c>
    </row>
    <row r="336" spans="1:16" x14ac:dyDescent="0.35">
      <c r="A336">
        <v>6639182</v>
      </c>
      <c r="B336" t="s">
        <v>2969</v>
      </c>
      <c r="C336" t="str">
        <f>"9780128187937"</f>
        <v>9780128187937</v>
      </c>
      <c r="D336" t="str">
        <f>"9780128187944"</f>
        <v>9780128187944</v>
      </c>
      <c r="E336" t="s">
        <v>190</v>
      </c>
      <c r="F336" t="s">
        <v>282</v>
      </c>
      <c r="G336" s="1">
        <v>44356</v>
      </c>
      <c r="H336" s="1">
        <v>44357</v>
      </c>
      <c r="K336" t="s">
        <v>2970</v>
      </c>
      <c r="L336" t="s">
        <v>38</v>
      </c>
      <c r="M336" t="s">
        <v>2971</v>
      </c>
      <c r="N336">
        <v>307.14159999999998</v>
      </c>
      <c r="O336" t="s">
        <v>2972</v>
      </c>
      <c r="P336" t="s">
        <v>18</v>
      </c>
    </row>
    <row r="337" spans="1:16" x14ac:dyDescent="0.35">
      <c r="A337">
        <v>6520050</v>
      </c>
      <c r="B337" t="s">
        <v>2973</v>
      </c>
      <c r="C337" t="str">
        <f>"9781642831610"</f>
        <v>9781642831610</v>
      </c>
      <c r="D337" t="str">
        <f>"9781642831627"</f>
        <v>9781642831627</v>
      </c>
      <c r="E337" t="s">
        <v>2154</v>
      </c>
      <c r="F337" t="s">
        <v>2154</v>
      </c>
      <c r="G337" s="1">
        <v>44355</v>
      </c>
      <c r="H337" s="1">
        <v>44272</v>
      </c>
      <c r="I337">
        <v>1</v>
      </c>
      <c r="K337" t="s">
        <v>2974</v>
      </c>
      <c r="L337" t="s">
        <v>41</v>
      </c>
      <c r="M337" t="s">
        <v>2975</v>
      </c>
      <c r="N337" t="s">
        <v>2976</v>
      </c>
      <c r="O337" t="s">
        <v>2977</v>
      </c>
      <c r="P337" t="s">
        <v>18</v>
      </c>
    </row>
    <row r="338" spans="1:16" x14ac:dyDescent="0.35">
      <c r="A338">
        <v>6702038</v>
      </c>
      <c r="B338" t="s">
        <v>2978</v>
      </c>
      <c r="C338" t="str">
        <f>""</f>
        <v/>
      </c>
      <c r="D338" t="str">
        <f>"9783110685558"</f>
        <v>9783110685558</v>
      </c>
      <c r="E338" t="s">
        <v>404</v>
      </c>
      <c r="F338" t="s">
        <v>404</v>
      </c>
      <c r="G338" s="1">
        <v>44355</v>
      </c>
      <c r="H338" s="1">
        <v>44424</v>
      </c>
      <c r="I338">
        <v>2</v>
      </c>
      <c r="J338" t="s">
        <v>2979</v>
      </c>
      <c r="K338" t="s">
        <v>2980</v>
      </c>
      <c r="L338" t="s">
        <v>166</v>
      </c>
      <c r="M338" t="s">
        <v>2981</v>
      </c>
      <c r="N338">
        <v>621.31244000000004</v>
      </c>
      <c r="O338" t="s">
        <v>2982</v>
      </c>
      <c r="P338" t="s">
        <v>18</v>
      </c>
    </row>
    <row r="339" spans="1:16" x14ac:dyDescent="0.35">
      <c r="A339">
        <v>6636609</v>
      </c>
      <c r="B339" t="s">
        <v>2983</v>
      </c>
      <c r="C339" t="str">
        <f>"9789004433014"</f>
        <v>9789004433014</v>
      </c>
      <c r="D339" t="str">
        <f>"9789004438231"</f>
        <v>9789004438231</v>
      </c>
      <c r="E339" t="s">
        <v>228</v>
      </c>
      <c r="F339" t="s">
        <v>228</v>
      </c>
      <c r="G339" s="1">
        <v>44350</v>
      </c>
      <c r="H339" s="1">
        <v>44351</v>
      </c>
      <c r="I339">
        <v>1</v>
      </c>
      <c r="J339" t="s">
        <v>2984</v>
      </c>
      <c r="K339" t="s">
        <v>2985</v>
      </c>
      <c r="L339" t="s">
        <v>91</v>
      </c>
      <c r="M339" t="s">
        <v>2986</v>
      </c>
      <c r="N339">
        <v>627.12095209029997</v>
      </c>
      <c r="O339" t="s">
        <v>2987</v>
      </c>
      <c r="P339" t="s">
        <v>18</v>
      </c>
    </row>
    <row r="340" spans="1:16" x14ac:dyDescent="0.35">
      <c r="A340">
        <v>6676527</v>
      </c>
      <c r="B340" t="s">
        <v>2988</v>
      </c>
      <c r="C340" t="str">
        <f>"9789004465435"</f>
        <v>9789004465435</v>
      </c>
      <c r="D340" t="str">
        <f>"9789004465442"</f>
        <v>9789004465442</v>
      </c>
      <c r="E340" t="s">
        <v>228</v>
      </c>
      <c r="F340" t="s">
        <v>228</v>
      </c>
      <c r="G340" s="1">
        <v>44350</v>
      </c>
      <c r="H340" s="1">
        <v>44390</v>
      </c>
      <c r="I340">
        <v>1</v>
      </c>
      <c r="J340" t="s">
        <v>484</v>
      </c>
      <c r="K340" t="s">
        <v>2989</v>
      </c>
      <c r="L340" t="s">
        <v>23</v>
      </c>
      <c r="M340" t="s">
        <v>2990</v>
      </c>
      <c r="N340">
        <v>346.04678999999999</v>
      </c>
      <c r="O340" t="s">
        <v>2991</v>
      </c>
      <c r="P340" t="s">
        <v>18</v>
      </c>
    </row>
    <row r="341" spans="1:16" x14ac:dyDescent="0.35">
      <c r="A341">
        <v>6629344</v>
      </c>
      <c r="B341" t="s">
        <v>2992</v>
      </c>
      <c r="C341" t="str">
        <f>"9781783483150"</f>
        <v>9781783483150</v>
      </c>
      <c r="D341" t="str">
        <f>"9781783483174"</f>
        <v>9781783483174</v>
      </c>
      <c r="E341" t="s">
        <v>458</v>
      </c>
      <c r="F341" t="s">
        <v>458</v>
      </c>
      <c r="G341" s="1">
        <v>44349</v>
      </c>
      <c r="H341" s="1">
        <v>44342</v>
      </c>
      <c r="J341" t="s">
        <v>2993</v>
      </c>
      <c r="K341" t="s">
        <v>2994</v>
      </c>
      <c r="L341" t="s">
        <v>38</v>
      </c>
      <c r="M341" t="s">
        <v>2995</v>
      </c>
      <c r="N341">
        <v>361.23091732</v>
      </c>
      <c r="O341" t="s">
        <v>2996</v>
      </c>
      <c r="P341" t="s">
        <v>18</v>
      </c>
    </row>
    <row r="342" spans="1:16" x14ac:dyDescent="0.35">
      <c r="A342">
        <v>6640765</v>
      </c>
      <c r="B342" t="s">
        <v>2997</v>
      </c>
      <c r="C342" t="str">
        <f>"9780811739559"</f>
        <v>9780811739559</v>
      </c>
      <c r="D342" t="str">
        <f>"9780811769549"</f>
        <v>9780811769549</v>
      </c>
      <c r="E342" t="s">
        <v>2998</v>
      </c>
      <c r="F342" t="s">
        <v>2998</v>
      </c>
      <c r="G342" s="1">
        <v>44348</v>
      </c>
      <c r="H342" s="1">
        <v>44360</v>
      </c>
      <c r="K342" t="s">
        <v>2999</v>
      </c>
      <c r="L342" t="s">
        <v>358</v>
      </c>
      <c r="M342" t="s">
        <v>3000</v>
      </c>
      <c r="N342">
        <v>333.95609730000001</v>
      </c>
      <c r="O342" t="s">
        <v>3001</v>
      </c>
      <c r="P342" t="s">
        <v>18</v>
      </c>
    </row>
    <row r="343" spans="1:16" x14ac:dyDescent="0.35">
      <c r="A343">
        <v>6525086</v>
      </c>
      <c r="B343" t="s">
        <v>3002</v>
      </c>
      <c r="C343" t="str">
        <f>"9781642830767"</f>
        <v>9781642830767</v>
      </c>
      <c r="D343" t="str">
        <f>"9781642830774"</f>
        <v>9781642830774</v>
      </c>
      <c r="E343" t="s">
        <v>2154</v>
      </c>
      <c r="F343" t="s">
        <v>2154</v>
      </c>
      <c r="G343" s="1">
        <v>44343</v>
      </c>
      <c r="H343" s="1">
        <v>44279</v>
      </c>
      <c r="I343">
        <v>1</v>
      </c>
      <c r="K343" t="s">
        <v>3003</v>
      </c>
      <c r="L343" t="s">
        <v>271</v>
      </c>
      <c r="N343">
        <v>910.68</v>
      </c>
      <c r="P343" t="s">
        <v>18</v>
      </c>
    </row>
    <row r="344" spans="1:16" x14ac:dyDescent="0.35">
      <c r="A344">
        <v>6632555</v>
      </c>
      <c r="B344" t="s">
        <v>3004</v>
      </c>
      <c r="C344" t="str">
        <f>"9780128214312"</f>
        <v>9780128214312</v>
      </c>
      <c r="D344" t="str">
        <f>"9780128214329"</f>
        <v>9780128214329</v>
      </c>
      <c r="E344" t="s">
        <v>1699</v>
      </c>
      <c r="F344" t="s">
        <v>1699</v>
      </c>
      <c r="G344" s="1">
        <v>44343</v>
      </c>
      <c r="H344" s="1">
        <v>44345</v>
      </c>
      <c r="K344" t="s">
        <v>3005</v>
      </c>
      <c r="L344" t="s">
        <v>3006</v>
      </c>
      <c r="M344" t="s">
        <v>3007</v>
      </c>
      <c r="N344">
        <v>338.92700000000002</v>
      </c>
      <c r="O344" t="s">
        <v>3008</v>
      </c>
      <c r="P344" t="s">
        <v>18</v>
      </c>
    </row>
    <row r="345" spans="1:16" x14ac:dyDescent="0.35">
      <c r="A345">
        <v>6565370</v>
      </c>
      <c r="B345" t="s">
        <v>3009</v>
      </c>
      <c r="C345" t="str">
        <f>"9781398602748"</f>
        <v>9781398602748</v>
      </c>
      <c r="D345" t="str">
        <f>"9781398602762"</f>
        <v>9781398602762</v>
      </c>
      <c r="E345" t="s">
        <v>215</v>
      </c>
      <c r="F345" t="s">
        <v>215</v>
      </c>
      <c r="G345" s="1">
        <v>44341</v>
      </c>
      <c r="H345" s="1">
        <v>44310</v>
      </c>
      <c r="I345">
        <v>1</v>
      </c>
      <c r="K345" t="s">
        <v>3010</v>
      </c>
      <c r="L345" t="s">
        <v>28</v>
      </c>
      <c r="M345" t="s">
        <v>3011</v>
      </c>
      <c r="N345">
        <v>658.40599999999995</v>
      </c>
      <c r="O345" t="s">
        <v>3012</v>
      </c>
      <c r="P345" t="s">
        <v>18</v>
      </c>
    </row>
    <row r="346" spans="1:16" x14ac:dyDescent="0.35">
      <c r="A346">
        <v>6565377</v>
      </c>
      <c r="B346" t="s">
        <v>3013</v>
      </c>
      <c r="C346" t="str">
        <f>"9781789667974"</f>
        <v>9781789667974</v>
      </c>
      <c r="D346" t="str">
        <f>"9781789667981"</f>
        <v>9781789667981</v>
      </c>
      <c r="E346" t="s">
        <v>215</v>
      </c>
      <c r="F346" t="s">
        <v>215</v>
      </c>
      <c r="G346" s="1">
        <v>44341</v>
      </c>
      <c r="H346" s="1">
        <v>44310</v>
      </c>
      <c r="I346">
        <v>2</v>
      </c>
      <c r="K346" t="s">
        <v>3014</v>
      </c>
      <c r="L346" t="s">
        <v>28</v>
      </c>
      <c r="M346" t="s">
        <v>3015</v>
      </c>
      <c r="N346">
        <v>658.40599999999995</v>
      </c>
      <c r="O346" t="s">
        <v>3016</v>
      </c>
      <c r="P346" t="s">
        <v>18</v>
      </c>
    </row>
    <row r="347" spans="1:16" x14ac:dyDescent="0.35">
      <c r="A347">
        <v>6630988</v>
      </c>
      <c r="B347" t="s">
        <v>3017</v>
      </c>
      <c r="C347" t="str">
        <f>"9780128183281"</f>
        <v>9780128183281</v>
      </c>
      <c r="D347" t="str">
        <f>"9780128183298"</f>
        <v>9780128183298</v>
      </c>
      <c r="E347" t="s">
        <v>190</v>
      </c>
      <c r="F347" t="s">
        <v>280</v>
      </c>
      <c r="G347" s="1">
        <v>44341</v>
      </c>
      <c r="H347" s="1">
        <v>44344</v>
      </c>
      <c r="J347" t="s">
        <v>3018</v>
      </c>
      <c r="K347" t="s">
        <v>3019</v>
      </c>
      <c r="L347" t="s">
        <v>266</v>
      </c>
      <c r="M347" t="s">
        <v>3020</v>
      </c>
      <c r="N347" t="s">
        <v>3021</v>
      </c>
      <c r="O347" t="s">
        <v>3022</v>
      </c>
      <c r="P347" t="s">
        <v>18</v>
      </c>
    </row>
    <row r="348" spans="1:16" x14ac:dyDescent="0.35">
      <c r="A348">
        <v>6630990</v>
      </c>
      <c r="B348" t="s">
        <v>3023</v>
      </c>
      <c r="C348" t="str">
        <f>"9780128235034"</f>
        <v>9780128235034</v>
      </c>
      <c r="D348" t="str">
        <f>"9780128235416"</f>
        <v>9780128235416</v>
      </c>
      <c r="E348" t="s">
        <v>1699</v>
      </c>
      <c r="F348" t="s">
        <v>1699</v>
      </c>
      <c r="G348" s="1">
        <v>44341</v>
      </c>
      <c r="H348" s="1">
        <v>44344</v>
      </c>
      <c r="K348" t="s">
        <v>3024</v>
      </c>
      <c r="L348" t="s">
        <v>129</v>
      </c>
      <c r="M348" t="s">
        <v>3025</v>
      </c>
      <c r="N348">
        <v>624.17619999999999</v>
      </c>
      <c r="O348" t="s">
        <v>3026</v>
      </c>
      <c r="P348" t="s">
        <v>18</v>
      </c>
    </row>
    <row r="349" spans="1:16" x14ac:dyDescent="0.35">
      <c r="A349">
        <v>6631172</v>
      </c>
      <c r="B349" t="s">
        <v>3027</v>
      </c>
      <c r="C349" t="str">
        <f>"9781839106491"</f>
        <v>9781839106491</v>
      </c>
      <c r="D349" t="str">
        <f>"9781839106507"</f>
        <v>9781839106507</v>
      </c>
      <c r="E349" t="s">
        <v>2080</v>
      </c>
      <c r="F349" t="s">
        <v>2080</v>
      </c>
      <c r="G349" s="1">
        <v>44341</v>
      </c>
      <c r="H349" s="1">
        <v>44344</v>
      </c>
      <c r="J349" t="s">
        <v>3028</v>
      </c>
      <c r="K349" t="s">
        <v>3029</v>
      </c>
      <c r="L349" t="s">
        <v>28</v>
      </c>
      <c r="M349" t="s">
        <v>3030</v>
      </c>
      <c r="N349">
        <v>658.85</v>
      </c>
      <c r="O349" t="s">
        <v>3031</v>
      </c>
      <c r="P349" t="s">
        <v>18</v>
      </c>
    </row>
    <row r="350" spans="1:16" x14ac:dyDescent="0.35">
      <c r="A350">
        <v>6607083</v>
      </c>
      <c r="B350" t="s">
        <v>3032</v>
      </c>
      <c r="C350" t="str">
        <f>"9781536195941"</f>
        <v>9781536195941</v>
      </c>
      <c r="D350" t="str">
        <f>"9781536196511"</f>
        <v>9781536196511</v>
      </c>
      <c r="E350" t="s">
        <v>1689</v>
      </c>
      <c r="F350" t="s">
        <v>1689</v>
      </c>
      <c r="G350" s="1">
        <v>44340</v>
      </c>
      <c r="H350" s="1">
        <v>44324</v>
      </c>
      <c r="I350">
        <v>1</v>
      </c>
      <c r="J350" t="s">
        <v>3033</v>
      </c>
      <c r="K350" t="s">
        <v>3034</v>
      </c>
      <c r="L350" t="s">
        <v>95</v>
      </c>
      <c r="M350" t="s">
        <v>3035</v>
      </c>
      <c r="N350">
        <v>719.33</v>
      </c>
      <c r="O350" t="s">
        <v>3036</v>
      </c>
      <c r="P350" t="s">
        <v>18</v>
      </c>
    </row>
    <row r="351" spans="1:16" x14ac:dyDescent="0.35">
      <c r="A351">
        <v>6607093</v>
      </c>
      <c r="B351" t="s">
        <v>3037</v>
      </c>
      <c r="C351" t="str">
        <f>"9781536195927"</f>
        <v>9781536195927</v>
      </c>
      <c r="D351" t="str">
        <f>"9781536196368"</f>
        <v>9781536196368</v>
      </c>
      <c r="E351" t="s">
        <v>1689</v>
      </c>
      <c r="F351" t="s">
        <v>1689</v>
      </c>
      <c r="G351" s="1">
        <v>44340</v>
      </c>
      <c r="H351" s="1">
        <v>44324</v>
      </c>
      <c r="I351">
        <v>1</v>
      </c>
      <c r="J351" t="s">
        <v>3038</v>
      </c>
      <c r="K351" t="s">
        <v>3039</v>
      </c>
      <c r="L351" t="s">
        <v>536</v>
      </c>
      <c r="M351" t="s">
        <v>3040</v>
      </c>
      <c r="N351">
        <v>583.63300000000004</v>
      </c>
      <c r="O351" t="s">
        <v>3041</v>
      </c>
      <c r="P351" t="s">
        <v>18</v>
      </c>
    </row>
    <row r="352" spans="1:16" x14ac:dyDescent="0.35">
      <c r="A352">
        <v>6621417</v>
      </c>
      <c r="B352" t="s">
        <v>3042</v>
      </c>
      <c r="C352" t="str">
        <f>"9781536195132"</f>
        <v>9781536195132</v>
      </c>
      <c r="D352" t="str">
        <f>"9781536196009"</f>
        <v>9781536196009</v>
      </c>
      <c r="E352" t="s">
        <v>1689</v>
      </c>
      <c r="F352" t="s">
        <v>1689</v>
      </c>
      <c r="G352" s="1">
        <v>44340</v>
      </c>
      <c r="H352" s="1">
        <v>44331</v>
      </c>
      <c r="I352">
        <v>1</v>
      </c>
      <c r="J352" t="s">
        <v>3043</v>
      </c>
      <c r="K352" t="s">
        <v>3044</v>
      </c>
      <c r="L352" t="s">
        <v>168</v>
      </c>
      <c r="P352" t="s">
        <v>18</v>
      </c>
    </row>
    <row r="353" spans="1:16" x14ac:dyDescent="0.35">
      <c r="A353">
        <v>6680450</v>
      </c>
      <c r="B353" t="s">
        <v>3045</v>
      </c>
      <c r="C353" t="str">
        <f>""</f>
        <v/>
      </c>
      <c r="D353" t="str">
        <f>"9781802621280"</f>
        <v>9781802621280</v>
      </c>
      <c r="E353" t="s">
        <v>187</v>
      </c>
      <c r="F353" t="s">
        <v>187</v>
      </c>
      <c r="G353" s="1">
        <v>44340</v>
      </c>
      <c r="H353" s="1">
        <v>44398</v>
      </c>
      <c r="J353" t="s">
        <v>3046</v>
      </c>
      <c r="K353" t="s">
        <v>3047</v>
      </c>
      <c r="L353" t="s">
        <v>38</v>
      </c>
      <c r="M353" t="s">
        <v>3048</v>
      </c>
      <c r="N353">
        <v>303.37200000000001</v>
      </c>
      <c r="O353" t="s">
        <v>3049</v>
      </c>
      <c r="P353" t="s">
        <v>18</v>
      </c>
    </row>
    <row r="354" spans="1:16" x14ac:dyDescent="0.35">
      <c r="A354">
        <v>6680459</v>
      </c>
      <c r="B354" t="s">
        <v>3050</v>
      </c>
      <c r="C354" t="str">
        <f>""</f>
        <v/>
      </c>
      <c r="D354" t="str">
        <f>"9781802620825"</f>
        <v>9781802620825</v>
      </c>
      <c r="E354" t="s">
        <v>187</v>
      </c>
      <c r="F354" t="s">
        <v>187</v>
      </c>
      <c r="G354" s="1">
        <v>44340</v>
      </c>
      <c r="H354" s="1">
        <v>44398</v>
      </c>
      <c r="J354" t="s">
        <v>1872</v>
      </c>
      <c r="K354" t="s">
        <v>3051</v>
      </c>
      <c r="L354" t="s">
        <v>1393</v>
      </c>
      <c r="M354" t="s">
        <v>3052</v>
      </c>
      <c r="N354">
        <v>363.69</v>
      </c>
      <c r="O354" t="s">
        <v>3053</v>
      </c>
      <c r="P354" t="s">
        <v>18</v>
      </c>
    </row>
    <row r="355" spans="1:16" x14ac:dyDescent="0.35">
      <c r="A355">
        <v>6607603</v>
      </c>
      <c r="B355" t="s">
        <v>3054</v>
      </c>
      <c r="C355" t="str">
        <f>"9781800439696"</f>
        <v>9781800439696</v>
      </c>
      <c r="D355" t="str">
        <f>"9781800439702"</f>
        <v>9781800439702</v>
      </c>
      <c r="E355" t="s">
        <v>187</v>
      </c>
      <c r="F355" t="s">
        <v>187</v>
      </c>
      <c r="G355" s="1">
        <v>44337</v>
      </c>
      <c r="H355" s="1">
        <v>44326</v>
      </c>
      <c r="J355" t="s">
        <v>3055</v>
      </c>
      <c r="K355" t="s">
        <v>3056</v>
      </c>
      <c r="L355" t="s">
        <v>49</v>
      </c>
      <c r="M355" t="s">
        <v>3057</v>
      </c>
      <c r="N355">
        <v>306.3</v>
      </c>
      <c r="O355" t="s">
        <v>3058</v>
      </c>
      <c r="P355" t="s">
        <v>18</v>
      </c>
    </row>
    <row r="356" spans="1:16" x14ac:dyDescent="0.35">
      <c r="A356">
        <v>6627990</v>
      </c>
      <c r="B356" t="s">
        <v>3059</v>
      </c>
      <c r="C356" t="str">
        <f>"9780128219126"</f>
        <v>9780128219126</v>
      </c>
      <c r="D356" t="str">
        <f>"9780128232514"</f>
        <v>9780128232514</v>
      </c>
      <c r="E356" t="s">
        <v>190</v>
      </c>
      <c r="F356" t="s">
        <v>191</v>
      </c>
      <c r="G356" s="1">
        <v>44337</v>
      </c>
      <c r="H356" s="1">
        <v>44337</v>
      </c>
      <c r="K356" t="s">
        <v>3060</v>
      </c>
      <c r="L356" t="s">
        <v>168</v>
      </c>
      <c r="M356" t="s">
        <v>3061</v>
      </c>
      <c r="N356">
        <v>631.55999999999995</v>
      </c>
      <c r="O356" t="s">
        <v>3062</v>
      </c>
      <c r="P356" t="s">
        <v>18</v>
      </c>
    </row>
    <row r="357" spans="1:16" x14ac:dyDescent="0.35">
      <c r="A357">
        <v>6624014</v>
      </c>
      <c r="B357" t="s">
        <v>3063</v>
      </c>
      <c r="C357" t="str">
        <f>"9780323898232"</f>
        <v>9780323898232</v>
      </c>
      <c r="D357" t="str">
        <f>"9780323903653"</f>
        <v>9780323903653</v>
      </c>
      <c r="E357" t="s">
        <v>1699</v>
      </c>
      <c r="F357" t="s">
        <v>1699</v>
      </c>
      <c r="G357" s="1">
        <v>44336</v>
      </c>
      <c r="H357" s="1">
        <v>44333</v>
      </c>
      <c r="J357" t="s">
        <v>3064</v>
      </c>
      <c r="K357" t="s">
        <v>3065</v>
      </c>
      <c r="L357" t="s">
        <v>166</v>
      </c>
      <c r="M357" t="s">
        <v>3066</v>
      </c>
      <c r="N357">
        <v>621.31200000000001</v>
      </c>
      <c r="O357" t="s">
        <v>3067</v>
      </c>
      <c r="P357" t="s">
        <v>18</v>
      </c>
    </row>
    <row r="358" spans="1:16" x14ac:dyDescent="0.35">
      <c r="A358">
        <v>6624015</v>
      </c>
      <c r="B358" t="s">
        <v>3068</v>
      </c>
      <c r="C358" t="str">
        <f>"9780128235386"</f>
        <v>9780128235386</v>
      </c>
      <c r="D358" t="str">
        <f>"9780128235980"</f>
        <v>9780128235980</v>
      </c>
      <c r="E358" t="s">
        <v>190</v>
      </c>
      <c r="F358" t="s">
        <v>191</v>
      </c>
      <c r="G358" s="1">
        <v>44336</v>
      </c>
      <c r="H358" s="1">
        <v>44333</v>
      </c>
      <c r="K358" t="s">
        <v>3069</v>
      </c>
      <c r="L358" t="s">
        <v>427</v>
      </c>
      <c r="M358" t="s">
        <v>3070</v>
      </c>
      <c r="N358">
        <v>333.79399999999998</v>
      </c>
      <c r="O358" t="s">
        <v>481</v>
      </c>
      <c r="P358" t="s">
        <v>18</v>
      </c>
    </row>
    <row r="359" spans="1:16" x14ac:dyDescent="0.35">
      <c r="A359">
        <v>6607331</v>
      </c>
      <c r="B359" t="s">
        <v>3071</v>
      </c>
      <c r="C359" t="str">
        <f>"9781793643452"</f>
        <v>9781793643452</v>
      </c>
      <c r="D359" t="str">
        <f>"9781793643469"</f>
        <v>9781793643469</v>
      </c>
      <c r="E359" t="s">
        <v>446</v>
      </c>
      <c r="F359" t="s">
        <v>446</v>
      </c>
      <c r="G359" s="1">
        <v>44335</v>
      </c>
      <c r="H359" s="1">
        <v>44325</v>
      </c>
      <c r="J359" t="s">
        <v>211</v>
      </c>
      <c r="K359" t="s">
        <v>3072</v>
      </c>
      <c r="L359" t="s">
        <v>3073</v>
      </c>
      <c r="M359" t="s">
        <v>3074</v>
      </c>
      <c r="N359" t="s">
        <v>3075</v>
      </c>
      <c r="O359" t="s">
        <v>3076</v>
      </c>
      <c r="P359" t="s">
        <v>18</v>
      </c>
    </row>
    <row r="360" spans="1:16" x14ac:dyDescent="0.35">
      <c r="A360">
        <v>6623903</v>
      </c>
      <c r="B360" t="s">
        <v>3077</v>
      </c>
      <c r="C360" t="str">
        <f>"9780128229583"</f>
        <v>9780128229583</v>
      </c>
      <c r="D360" t="str">
        <f>"9780128230114"</f>
        <v>9780128230114</v>
      </c>
      <c r="E360" t="s">
        <v>1699</v>
      </c>
      <c r="F360" t="s">
        <v>1699</v>
      </c>
      <c r="G360" s="1">
        <v>44335</v>
      </c>
      <c r="H360" s="1">
        <v>44332</v>
      </c>
      <c r="K360" t="s">
        <v>3078</v>
      </c>
      <c r="L360" t="s">
        <v>105</v>
      </c>
      <c r="M360" t="s">
        <v>3079</v>
      </c>
      <c r="N360">
        <v>363.70015117999998</v>
      </c>
      <c r="O360" t="s">
        <v>3080</v>
      </c>
      <c r="P360" t="s">
        <v>18</v>
      </c>
    </row>
    <row r="361" spans="1:16" x14ac:dyDescent="0.35">
      <c r="A361">
        <v>6621504</v>
      </c>
      <c r="B361" t="s">
        <v>3081</v>
      </c>
      <c r="C361" t="str">
        <f>"9780128238288"</f>
        <v>9780128238288</v>
      </c>
      <c r="D361" t="str">
        <f>"9780128238424"</f>
        <v>9780128238424</v>
      </c>
      <c r="E361" t="s">
        <v>1699</v>
      </c>
      <c r="F361" t="s">
        <v>1699</v>
      </c>
      <c r="G361" s="1">
        <v>44334</v>
      </c>
      <c r="H361" s="1">
        <v>44331</v>
      </c>
      <c r="K361" t="s">
        <v>3082</v>
      </c>
      <c r="L361" t="s">
        <v>104</v>
      </c>
      <c r="M361" t="s">
        <v>3083</v>
      </c>
      <c r="N361">
        <v>628.5</v>
      </c>
      <c r="O361" t="s">
        <v>3084</v>
      </c>
      <c r="P361" t="s">
        <v>18</v>
      </c>
    </row>
    <row r="362" spans="1:16" x14ac:dyDescent="0.35">
      <c r="A362">
        <v>6624912</v>
      </c>
      <c r="B362" t="s">
        <v>3085</v>
      </c>
      <c r="C362" t="str">
        <f>"9780128245194"</f>
        <v>9780128245194</v>
      </c>
      <c r="D362" t="str">
        <f>"9780323859141"</f>
        <v>9780323859141</v>
      </c>
      <c r="E362" t="s">
        <v>1699</v>
      </c>
      <c r="F362" t="s">
        <v>1699</v>
      </c>
      <c r="G362" s="1">
        <v>44334</v>
      </c>
      <c r="H362" s="1">
        <v>44335</v>
      </c>
      <c r="K362" t="s">
        <v>3086</v>
      </c>
      <c r="L362" t="s">
        <v>199</v>
      </c>
      <c r="M362" t="s">
        <v>3087</v>
      </c>
      <c r="N362">
        <v>333.7</v>
      </c>
      <c r="O362" t="s">
        <v>2583</v>
      </c>
      <c r="P362" t="s">
        <v>18</v>
      </c>
    </row>
    <row r="363" spans="1:16" x14ac:dyDescent="0.35">
      <c r="A363">
        <v>6613104</v>
      </c>
      <c r="B363" t="s">
        <v>3088</v>
      </c>
      <c r="C363" t="str">
        <f>"9780128179765"</f>
        <v>9780128179765</v>
      </c>
      <c r="D363" t="str">
        <f>"9780128179772"</f>
        <v>9780128179772</v>
      </c>
      <c r="E363" t="s">
        <v>1699</v>
      </c>
      <c r="F363" t="s">
        <v>1699</v>
      </c>
      <c r="G363" s="1">
        <v>44333</v>
      </c>
      <c r="H363" s="1">
        <v>44329</v>
      </c>
      <c r="K363" t="s">
        <v>3089</v>
      </c>
      <c r="L363" t="s">
        <v>41</v>
      </c>
      <c r="M363" t="s">
        <v>3090</v>
      </c>
      <c r="N363">
        <v>338.92702850000001</v>
      </c>
      <c r="O363" t="s">
        <v>1997</v>
      </c>
      <c r="P363" t="s">
        <v>18</v>
      </c>
    </row>
    <row r="364" spans="1:16" x14ac:dyDescent="0.35">
      <c r="A364">
        <v>6800972</v>
      </c>
      <c r="B364" t="s">
        <v>3091</v>
      </c>
      <c r="C364" t="str">
        <f>"9789264739123"</f>
        <v>9789264739123</v>
      </c>
      <c r="D364" t="str">
        <f>"9789264988354"</f>
        <v>9789264988354</v>
      </c>
      <c r="E364" t="s">
        <v>200</v>
      </c>
      <c r="F364" t="s">
        <v>200</v>
      </c>
      <c r="G364" s="1">
        <v>44333</v>
      </c>
      <c r="H364" s="1">
        <v>44511</v>
      </c>
      <c r="I364">
        <v>1</v>
      </c>
      <c r="J364" t="s">
        <v>3092</v>
      </c>
      <c r="K364" t="s">
        <v>201</v>
      </c>
      <c r="L364" t="s">
        <v>33</v>
      </c>
      <c r="P364" t="s">
        <v>18</v>
      </c>
    </row>
    <row r="365" spans="1:16" x14ac:dyDescent="0.35">
      <c r="A365">
        <v>6823837</v>
      </c>
      <c r="B365" t="s">
        <v>3093</v>
      </c>
      <c r="C365" t="str">
        <f>"9789264350939"</f>
        <v>9789264350939</v>
      </c>
      <c r="D365" t="str">
        <f>"9789264367111"</f>
        <v>9789264367111</v>
      </c>
      <c r="E365" t="s">
        <v>366</v>
      </c>
      <c r="F365" t="s">
        <v>201</v>
      </c>
      <c r="G365" s="1">
        <v>44333</v>
      </c>
      <c r="H365" s="1">
        <v>44541</v>
      </c>
      <c r="I365">
        <v>1</v>
      </c>
      <c r="K365" t="s">
        <v>201</v>
      </c>
      <c r="L365" t="s">
        <v>42</v>
      </c>
      <c r="P365" t="s">
        <v>18</v>
      </c>
    </row>
    <row r="366" spans="1:16" x14ac:dyDescent="0.35">
      <c r="A366">
        <v>6539999</v>
      </c>
      <c r="B366" t="s">
        <v>3094</v>
      </c>
      <c r="C366" t="str">
        <f>"9781538144398"</f>
        <v>9781538144398</v>
      </c>
      <c r="D366" t="str">
        <f>"9781538144404"</f>
        <v>9781538144404</v>
      </c>
      <c r="E366" t="s">
        <v>458</v>
      </c>
      <c r="F366" t="s">
        <v>458</v>
      </c>
      <c r="G366" s="1">
        <v>44331</v>
      </c>
      <c r="H366" s="1">
        <v>44296</v>
      </c>
      <c r="K366" t="s">
        <v>3095</v>
      </c>
      <c r="L366" t="s">
        <v>105</v>
      </c>
      <c r="M366" t="s">
        <v>3096</v>
      </c>
      <c r="N366" t="s">
        <v>3097</v>
      </c>
      <c r="O366" t="s">
        <v>3098</v>
      </c>
      <c r="P366" t="s">
        <v>18</v>
      </c>
    </row>
    <row r="367" spans="1:16" x14ac:dyDescent="0.35">
      <c r="A367">
        <v>6607136</v>
      </c>
      <c r="B367" t="s">
        <v>3099</v>
      </c>
      <c r="C367" t="str">
        <f>"9780128222751"</f>
        <v>9780128222751</v>
      </c>
      <c r="D367" t="str">
        <f>"9780128222768"</f>
        <v>9780128222768</v>
      </c>
      <c r="E367" t="s">
        <v>190</v>
      </c>
      <c r="F367" t="s">
        <v>191</v>
      </c>
      <c r="G367" s="1">
        <v>44327</v>
      </c>
      <c r="H367" s="1">
        <v>44324</v>
      </c>
      <c r="K367" t="s">
        <v>3100</v>
      </c>
      <c r="L367" t="s">
        <v>61</v>
      </c>
      <c r="M367" t="s">
        <v>3101</v>
      </c>
      <c r="N367">
        <v>720.47199999999998</v>
      </c>
      <c r="O367" t="s">
        <v>3102</v>
      </c>
      <c r="P367" t="s">
        <v>18</v>
      </c>
    </row>
    <row r="368" spans="1:16" x14ac:dyDescent="0.35">
      <c r="A368">
        <v>6823848</v>
      </c>
      <c r="B368" t="s">
        <v>3103</v>
      </c>
      <c r="C368" t="str">
        <f>"9789264679474"</f>
        <v>9789264679474</v>
      </c>
      <c r="D368" t="str">
        <f>"9789264724679"</f>
        <v>9789264724679</v>
      </c>
      <c r="E368" t="s">
        <v>366</v>
      </c>
      <c r="F368" t="s">
        <v>201</v>
      </c>
      <c r="G368" s="1">
        <v>44326</v>
      </c>
      <c r="H368" s="1">
        <v>44541</v>
      </c>
      <c r="I368">
        <v>1</v>
      </c>
      <c r="K368" t="s">
        <v>201</v>
      </c>
      <c r="L368" t="s">
        <v>42</v>
      </c>
      <c r="P368" t="s">
        <v>18</v>
      </c>
    </row>
    <row r="369" spans="1:16" x14ac:dyDescent="0.35">
      <c r="A369">
        <v>6540048</v>
      </c>
      <c r="B369" t="s">
        <v>3104</v>
      </c>
      <c r="C369" t="str">
        <f>"9781538141328"</f>
        <v>9781538141328</v>
      </c>
      <c r="D369" t="str">
        <f>"9781538141335"</f>
        <v>9781538141335</v>
      </c>
      <c r="E369" t="s">
        <v>443</v>
      </c>
      <c r="F369" t="s">
        <v>443</v>
      </c>
      <c r="G369" s="1">
        <v>44323</v>
      </c>
      <c r="H369" s="1">
        <v>44296</v>
      </c>
      <c r="K369" t="s">
        <v>3105</v>
      </c>
      <c r="L369" t="s">
        <v>38</v>
      </c>
      <c r="M369" t="s">
        <v>3106</v>
      </c>
      <c r="N369" t="s">
        <v>3107</v>
      </c>
      <c r="O369" t="s">
        <v>3108</v>
      </c>
      <c r="P369" t="s">
        <v>18</v>
      </c>
    </row>
    <row r="370" spans="1:16" x14ac:dyDescent="0.35">
      <c r="A370">
        <v>6631143</v>
      </c>
      <c r="B370" t="s">
        <v>3109</v>
      </c>
      <c r="C370" t="str">
        <f>"9781788972031"</f>
        <v>9781788972031</v>
      </c>
      <c r="D370" t="str">
        <f>"9781788972048"</f>
        <v>9781788972048</v>
      </c>
      <c r="E370" t="s">
        <v>2080</v>
      </c>
      <c r="F370" t="s">
        <v>2080</v>
      </c>
      <c r="G370" s="1">
        <v>44323</v>
      </c>
      <c r="H370" s="1">
        <v>44344</v>
      </c>
      <c r="J370" t="s">
        <v>3110</v>
      </c>
      <c r="K370" t="s">
        <v>3111</v>
      </c>
      <c r="L370" t="s">
        <v>3112</v>
      </c>
      <c r="M370" t="s">
        <v>3113</v>
      </c>
      <c r="N370">
        <v>333.714</v>
      </c>
      <c r="O370" t="s">
        <v>3114</v>
      </c>
      <c r="P370" t="s">
        <v>18</v>
      </c>
    </row>
    <row r="371" spans="1:16" x14ac:dyDescent="0.35">
      <c r="A371">
        <v>6632647</v>
      </c>
      <c r="B371" t="s">
        <v>3115</v>
      </c>
      <c r="C371" t="str">
        <f>"9781799874188"</f>
        <v>9781799874188</v>
      </c>
      <c r="D371" t="str">
        <f>"9781799874218"</f>
        <v>9781799874218</v>
      </c>
      <c r="E371" t="s">
        <v>138</v>
      </c>
      <c r="F371" t="s">
        <v>1769</v>
      </c>
      <c r="G371" s="1">
        <v>44323</v>
      </c>
      <c r="H371" s="1">
        <v>44345</v>
      </c>
      <c r="K371" t="s">
        <v>3116</v>
      </c>
      <c r="L371" t="s">
        <v>41</v>
      </c>
      <c r="M371" t="s">
        <v>3117</v>
      </c>
      <c r="N371">
        <v>332.7011</v>
      </c>
      <c r="O371" t="s">
        <v>3118</v>
      </c>
      <c r="P371" t="s">
        <v>18</v>
      </c>
    </row>
    <row r="372" spans="1:16" x14ac:dyDescent="0.35">
      <c r="A372">
        <v>6534596</v>
      </c>
      <c r="B372" t="s">
        <v>3119</v>
      </c>
      <c r="C372" t="str">
        <f>""</f>
        <v/>
      </c>
      <c r="D372" t="str">
        <f>"9780861540181"</f>
        <v>9780861540181</v>
      </c>
      <c r="E372" t="s">
        <v>3120</v>
      </c>
      <c r="F372" t="s">
        <v>3120</v>
      </c>
      <c r="G372" s="1">
        <v>44322</v>
      </c>
      <c r="H372" s="1">
        <v>44293</v>
      </c>
      <c r="J372" t="s">
        <v>3121</v>
      </c>
      <c r="K372" t="s">
        <v>3122</v>
      </c>
      <c r="L372" t="s">
        <v>519</v>
      </c>
      <c r="M372" t="s">
        <v>3123</v>
      </c>
      <c r="N372">
        <v>333.95</v>
      </c>
      <c r="O372" t="s">
        <v>3124</v>
      </c>
      <c r="P372" t="s">
        <v>18</v>
      </c>
    </row>
    <row r="373" spans="1:16" x14ac:dyDescent="0.35">
      <c r="A373">
        <v>6565391</v>
      </c>
      <c r="B373" t="s">
        <v>3125</v>
      </c>
      <c r="C373" t="str">
        <f>"9781793644473"</f>
        <v>9781793644473</v>
      </c>
      <c r="D373" t="str">
        <f>"9781793644480"</f>
        <v>9781793644480</v>
      </c>
      <c r="E373" t="s">
        <v>445</v>
      </c>
      <c r="F373" t="s">
        <v>445</v>
      </c>
      <c r="G373" s="1">
        <v>44322</v>
      </c>
      <c r="H373" s="1">
        <v>44311</v>
      </c>
      <c r="K373" t="s">
        <v>3126</v>
      </c>
      <c r="L373" t="s">
        <v>202</v>
      </c>
      <c r="M373" t="s">
        <v>3127</v>
      </c>
      <c r="N373">
        <v>333.79094700000002</v>
      </c>
      <c r="O373" t="s">
        <v>3128</v>
      </c>
      <c r="P373" t="s">
        <v>18</v>
      </c>
    </row>
    <row r="374" spans="1:16" x14ac:dyDescent="0.35">
      <c r="A374">
        <v>6508504</v>
      </c>
      <c r="B374" t="s">
        <v>3129</v>
      </c>
      <c r="C374" t="str">
        <f>"9781536192759"</f>
        <v>9781536192759</v>
      </c>
      <c r="D374" t="str">
        <f>"9781536193046"</f>
        <v>9781536193046</v>
      </c>
      <c r="E374" t="s">
        <v>1689</v>
      </c>
      <c r="F374" t="s">
        <v>1689</v>
      </c>
      <c r="G374" s="1">
        <v>44321</v>
      </c>
      <c r="H374" s="1">
        <v>44260</v>
      </c>
      <c r="I374">
        <v>1</v>
      </c>
      <c r="J374" t="s">
        <v>3130</v>
      </c>
      <c r="K374" t="s">
        <v>3131</v>
      </c>
      <c r="L374" t="s">
        <v>144</v>
      </c>
      <c r="M374" t="s">
        <v>3132</v>
      </c>
      <c r="N374">
        <v>577.63095729999998</v>
      </c>
      <c r="O374" t="s">
        <v>3133</v>
      </c>
      <c r="P374" t="s">
        <v>18</v>
      </c>
    </row>
    <row r="375" spans="1:16" x14ac:dyDescent="0.35">
      <c r="A375">
        <v>6538860</v>
      </c>
      <c r="B375" t="s">
        <v>3134</v>
      </c>
      <c r="C375" t="str">
        <f>"9780309677608"</f>
        <v>9780309677608</v>
      </c>
      <c r="D375" t="str">
        <f>"9780309677615"</f>
        <v>9780309677615</v>
      </c>
      <c r="E375" t="s">
        <v>531</v>
      </c>
      <c r="F375" t="s">
        <v>531</v>
      </c>
      <c r="G375" s="1">
        <v>44321</v>
      </c>
      <c r="H375" s="1">
        <v>44295</v>
      </c>
      <c r="I375">
        <v>1</v>
      </c>
      <c r="K375" t="s">
        <v>3135</v>
      </c>
      <c r="L375" t="s">
        <v>3136</v>
      </c>
      <c r="P375" t="s">
        <v>18</v>
      </c>
    </row>
    <row r="376" spans="1:16" x14ac:dyDescent="0.35">
      <c r="A376">
        <v>6540000</v>
      </c>
      <c r="B376" t="s">
        <v>3137</v>
      </c>
      <c r="C376" t="str">
        <f>"9781538140659"</f>
        <v>9781538140659</v>
      </c>
      <c r="D376" t="str">
        <f>"9781538140666"</f>
        <v>9781538140666</v>
      </c>
      <c r="E376" t="s">
        <v>443</v>
      </c>
      <c r="F376" t="s">
        <v>443</v>
      </c>
      <c r="G376" s="1">
        <v>44321</v>
      </c>
      <c r="H376" s="1">
        <v>44296</v>
      </c>
      <c r="K376" t="s">
        <v>3138</v>
      </c>
      <c r="L376" t="s">
        <v>1995</v>
      </c>
      <c r="M376" t="s">
        <v>3139</v>
      </c>
      <c r="N376">
        <v>304.2</v>
      </c>
      <c r="O376" t="s">
        <v>3140</v>
      </c>
      <c r="P376" t="s">
        <v>18</v>
      </c>
    </row>
    <row r="377" spans="1:16" x14ac:dyDescent="0.35">
      <c r="A377">
        <v>6552081</v>
      </c>
      <c r="B377" t="s">
        <v>3141</v>
      </c>
      <c r="C377" t="str">
        <f>"9781536194852"</f>
        <v>9781536194852</v>
      </c>
      <c r="D377" t="str">
        <f>"9781536195545"</f>
        <v>9781536195545</v>
      </c>
      <c r="E377" t="s">
        <v>1689</v>
      </c>
      <c r="F377" t="s">
        <v>1689</v>
      </c>
      <c r="G377" s="1">
        <v>44321</v>
      </c>
      <c r="H377" s="1">
        <v>44303</v>
      </c>
      <c r="I377">
        <v>1</v>
      </c>
      <c r="J377" t="s">
        <v>3142</v>
      </c>
      <c r="K377" t="s">
        <v>3143</v>
      </c>
      <c r="L377" t="s">
        <v>129</v>
      </c>
      <c r="N377">
        <v>624.18910000000005</v>
      </c>
      <c r="P377" t="s">
        <v>18</v>
      </c>
    </row>
    <row r="378" spans="1:16" x14ac:dyDescent="0.35">
      <c r="A378">
        <v>6565003</v>
      </c>
      <c r="B378" t="s">
        <v>3144</v>
      </c>
      <c r="C378" t="str">
        <f>"9781536195439"</f>
        <v>9781536195439</v>
      </c>
      <c r="D378" t="str">
        <f>"9781536195811"</f>
        <v>9781536195811</v>
      </c>
      <c r="E378" t="s">
        <v>1689</v>
      </c>
      <c r="F378" t="s">
        <v>1689</v>
      </c>
      <c r="G378" s="1">
        <v>44321</v>
      </c>
      <c r="H378" s="1">
        <v>44310</v>
      </c>
      <c r="I378">
        <v>1</v>
      </c>
      <c r="J378" t="s">
        <v>3145</v>
      </c>
      <c r="K378" t="s">
        <v>3146</v>
      </c>
      <c r="L378" t="s">
        <v>105</v>
      </c>
      <c r="P378" t="s">
        <v>18</v>
      </c>
    </row>
    <row r="379" spans="1:16" x14ac:dyDescent="0.35">
      <c r="A379">
        <v>6566861</v>
      </c>
      <c r="B379" t="s">
        <v>3147</v>
      </c>
      <c r="C379" t="str">
        <f>"9781800712454"</f>
        <v>9781800712454</v>
      </c>
      <c r="D379" t="str">
        <f>"9781800712447"</f>
        <v>9781800712447</v>
      </c>
      <c r="E379" t="s">
        <v>187</v>
      </c>
      <c r="F379" t="s">
        <v>187</v>
      </c>
      <c r="G379" s="1">
        <v>44321</v>
      </c>
      <c r="H379" s="1">
        <v>44313</v>
      </c>
      <c r="K379" t="s">
        <v>3148</v>
      </c>
      <c r="L379" t="s">
        <v>28</v>
      </c>
      <c r="M379" t="s">
        <v>250</v>
      </c>
      <c r="N379">
        <v>658.8</v>
      </c>
      <c r="O379" t="s">
        <v>3149</v>
      </c>
      <c r="P379" t="s">
        <v>18</v>
      </c>
    </row>
    <row r="380" spans="1:16" x14ac:dyDescent="0.35">
      <c r="A380">
        <v>6800966</v>
      </c>
      <c r="B380" t="s">
        <v>3150</v>
      </c>
      <c r="C380" t="str">
        <f>"9789264706040"</f>
        <v>9789264706040</v>
      </c>
      <c r="D380" t="str">
        <f>"9789264708204"</f>
        <v>9789264708204</v>
      </c>
      <c r="E380" t="s">
        <v>366</v>
      </c>
      <c r="F380" t="s">
        <v>201</v>
      </c>
      <c r="G380" s="1">
        <v>44321</v>
      </c>
      <c r="H380" s="1">
        <v>44511</v>
      </c>
      <c r="I380">
        <v>1</v>
      </c>
      <c r="K380" t="s">
        <v>201</v>
      </c>
      <c r="L380" t="s">
        <v>33</v>
      </c>
      <c r="P380" t="s">
        <v>18</v>
      </c>
    </row>
    <row r="381" spans="1:16" x14ac:dyDescent="0.35">
      <c r="A381">
        <v>6631142</v>
      </c>
      <c r="B381" t="s">
        <v>3151</v>
      </c>
      <c r="C381" t="str">
        <f>"9781789907643"</f>
        <v>9781789907643</v>
      </c>
      <c r="D381" t="str">
        <f>"9781789907650"</f>
        <v>9781789907650</v>
      </c>
      <c r="E381" t="s">
        <v>2080</v>
      </c>
      <c r="F381" t="s">
        <v>2080</v>
      </c>
      <c r="G381" s="1">
        <v>44320</v>
      </c>
      <c r="H381" s="1">
        <v>44344</v>
      </c>
      <c r="J381" t="s">
        <v>3152</v>
      </c>
      <c r="K381" t="s">
        <v>3153</v>
      </c>
      <c r="L381" t="s">
        <v>489</v>
      </c>
      <c r="M381" t="s">
        <v>3154</v>
      </c>
      <c r="N381">
        <v>687</v>
      </c>
      <c r="O381" t="s">
        <v>3155</v>
      </c>
      <c r="P381" t="s">
        <v>18</v>
      </c>
    </row>
    <row r="382" spans="1:16" x14ac:dyDescent="0.35">
      <c r="A382">
        <v>6631168</v>
      </c>
      <c r="B382" t="s">
        <v>3156</v>
      </c>
      <c r="C382" t="str">
        <f>"9781789907957"</f>
        <v>9781789907957</v>
      </c>
      <c r="D382" t="str">
        <f>"9781789907964"</f>
        <v>9781789907964</v>
      </c>
      <c r="E382" t="s">
        <v>2080</v>
      </c>
      <c r="F382" t="s">
        <v>2080</v>
      </c>
      <c r="G382" s="1">
        <v>44320</v>
      </c>
      <c r="H382" s="1">
        <v>44344</v>
      </c>
      <c r="J382" t="s">
        <v>3157</v>
      </c>
      <c r="K382" t="s">
        <v>3158</v>
      </c>
      <c r="L382" t="s">
        <v>41</v>
      </c>
      <c r="M382" t="s">
        <v>3159</v>
      </c>
      <c r="N382">
        <v>332</v>
      </c>
      <c r="O382" t="s">
        <v>3160</v>
      </c>
      <c r="P382" t="s">
        <v>18</v>
      </c>
    </row>
    <row r="383" spans="1:16" x14ac:dyDescent="0.35">
      <c r="A383">
        <v>6551909</v>
      </c>
      <c r="B383" t="s">
        <v>3161</v>
      </c>
      <c r="C383" t="str">
        <f>"9781793630124"</f>
        <v>9781793630124</v>
      </c>
      <c r="D383" t="str">
        <f>"9781793630131"</f>
        <v>9781793630131</v>
      </c>
      <c r="E383" t="s">
        <v>445</v>
      </c>
      <c r="F383" t="s">
        <v>445</v>
      </c>
      <c r="G383" s="1">
        <v>44319</v>
      </c>
      <c r="H383" s="1">
        <v>44303</v>
      </c>
      <c r="J383" t="s">
        <v>3162</v>
      </c>
      <c r="K383" t="s">
        <v>3163</v>
      </c>
      <c r="L383" t="s">
        <v>105</v>
      </c>
      <c r="M383" t="s">
        <v>3164</v>
      </c>
      <c r="N383">
        <v>363.70097299999998</v>
      </c>
      <c r="O383" t="s">
        <v>3165</v>
      </c>
      <c r="P383" t="s">
        <v>18</v>
      </c>
    </row>
    <row r="384" spans="1:16" x14ac:dyDescent="0.35">
      <c r="A384">
        <v>6509555</v>
      </c>
      <c r="B384" t="s">
        <v>3166</v>
      </c>
      <c r="C384" t="str">
        <f>"9781799867760"</f>
        <v>9781799867760</v>
      </c>
      <c r="D384" t="str">
        <f>"9781799867791"</f>
        <v>9781799867791</v>
      </c>
      <c r="E384" t="s">
        <v>138</v>
      </c>
      <c r="F384" t="s">
        <v>1769</v>
      </c>
      <c r="G384" s="1">
        <v>44316</v>
      </c>
      <c r="H384" s="1">
        <v>44261</v>
      </c>
      <c r="K384" t="s">
        <v>3167</v>
      </c>
      <c r="L384" t="s">
        <v>26</v>
      </c>
      <c r="M384" t="s">
        <v>3168</v>
      </c>
      <c r="N384">
        <v>338.04</v>
      </c>
      <c r="O384" t="s">
        <v>3169</v>
      </c>
      <c r="P384" t="s">
        <v>18</v>
      </c>
    </row>
    <row r="385" spans="1:16" x14ac:dyDescent="0.35">
      <c r="A385">
        <v>6578912</v>
      </c>
      <c r="B385" t="s">
        <v>3170</v>
      </c>
      <c r="C385" t="str">
        <f>"9780128219553"</f>
        <v>9780128219553</v>
      </c>
      <c r="D385" t="str">
        <f>"9780128219478"</f>
        <v>9780128219478</v>
      </c>
      <c r="E385" t="s">
        <v>190</v>
      </c>
      <c r="F385" t="s">
        <v>191</v>
      </c>
      <c r="G385" s="1">
        <v>44316</v>
      </c>
      <c r="H385" s="1">
        <v>44317</v>
      </c>
      <c r="K385" t="s">
        <v>3171</v>
      </c>
      <c r="L385" t="s">
        <v>208</v>
      </c>
      <c r="N385">
        <v>620.10599999999999</v>
      </c>
      <c r="P385" t="s">
        <v>18</v>
      </c>
    </row>
    <row r="386" spans="1:16" x14ac:dyDescent="0.35">
      <c r="A386">
        <v>6568336</v>
      </c>
      <c r="B386" t="s">
        <v>3172</v>
      </c>
      <c r="C386" t="str">
        <f>"9780128178218"</f>
        <v>9780128178218</v>
      </c>
      <c r="D386" t="str">
        <f>"9780128178225"</f>
        <v>9780128178225</v>
      </c>
      <c r="E386" t="s">
        <v>190</v>
      </c>
      <c r="F386" t="s">
        <v>280</v>
      </c>
      <c r="G386" s="1">
        <v>44315</v>
      </c>
      <c r="H386" s="1">
        <v>44313</v>
      </c>
      <c r="J386" t="s">
        <v>3173</v>
      </c>
      <c r="K386" t="s">
        <v>3174</v>
      </c>
      <c r="L386" t="s">
        <v>311</v>
      </c>
      <c r="M386" t="s">
        <v>3175</v>
      </c>
      <c r="N386">
        <v>664.00688000000002</v>
      </c>
      <c r="O386" t="s">
        <v>3176</v>
      </c>
      <c r="P386" t="s">
        <v>18</v>
      </c>
    </row>
    <row r="387" spans="1:16" x14ac:dyDescent="0.35">
      <c r="A387">
        <v>6550105</v>
      </c>
      <c r="B387" t="s">
        <v>3177</v>
      </c>
      <c r="C387" t="str">
        <f>"9781538136546"</f>
        <v>9781538136546</v>
      </c>
      <c r="D387" t="str">
        <f>"9781538136638"</f>
        <v>9781538136638</v>
      </c>
      <c r="E387" t="s">
        <v>443</v>
      </c>
      <c r="F387" t="s">
        <v>443</v>
      </c>
      <c r="G387" s="1">
        <v>44314</v>
      </c>
      <c r="H387" s="1">
        <v>44300</v>
      </c>
      <c r="K387" t="s">
        <v>3178</v>
      </c>
      <c r="L387" t="s">
        <v>34</v>
      </c>
      <c r="M387" t="s">
        <v>3179</v>
      </c>
      <c r="N387" t="s">
        <v>3180</v>
      </c>
      <c r="O387" t="s">
        <v>3181</v>
      </c>
      <c r="P387" t="s">
        <v>18</v>
      </c>
    </row>
    <row r="388" spans="1:16" x14ac:dyDescent="0.35">
      <c r="A388">
        <v>6800965</v>
      </c>
      <c r="B388" t="s">
        <v>3182</v>
      </c>
      <c r="C388" t="str">
        <f>"9789264741218"</f>
        <v>9789264741218</v>
      </c>
      <c r="D388" t="str">
        <f>"9789264854420"</f>
        <v>9789264854420</v>
      </c>
      <c r="E388" t="s">
        <v>366</v>
      </c>
      <c r="F388" t="s">
        <v>201</v>
      </c>
      <c r="G388" s="1">
        <v>44314</v>
      </c>
      <c r="H388" s="1">
        <v>44511</v>
      </c>
      <c r="I388">
        <v>1</v>
      </c>
      <c r="K388" t="s">
        <v>201</v>
      </c>
      <c r="L388" t="s">
        <v>33</v>
      </c>
      <c r="P388" t="s">
        <v>18</v>
      </c>
    </row>
    <row r="389" spans="1:16" x14ac:dyDescent="0.35">
      <c r="A389">
        <v>6561701</v>
      </c>
      <c r="B389" t="s">
        <v>3183</v>
      </c>
      <c r="C389" t="str">
        <f>"9781440855702"</f>
        <v>9781440855702</v>
      </c>
      <c r="D389" t="str">
        <f>"9781440855719"</f>
        <v>9781440855719</v>
      </c>
      <c r="E389" t="s">
        <v>440</v>
      </c>
      <c r="F389" t="s">
        <v>440</v>
      </c>
      <c r="G389" s="1">
        <v>44312</v>
      </c>
      <c r="H389" s="1">
        <v>44307</v>
      </c>
      <c r="K389" t="s">
        <v>3184</v>
      </c>
      <c r="L389" t="s">
        <v>105</v>
      </c>
      <c r="M389" t="s">
        <v>3185</v>
      </c>
      <c r="N389">
        <v>363.7</v>
      </c>
      <c r="O389" t="s">
        <v>3186</v>
      </c>
      <c r="P389" t="s">
        <v>18</v>
      </c>
    </row>
    <row r="390" spans="1:16" x14ac:dyDescent="0.35">
      <c r="A390">
        <v>6562322</v>
      </c>
      <c r="B390" t="s">
        <v>3187</v>
      </c>
      <c r="C390" t="str">
        <f>"9781789973778"</f>
        <v>9781789973778</v>
      </c>
      <c r="D390" t="str">
        <f>"9781789974126"</f>
        <v>9781789974126</v>
      </c>
      <c r="E390" t="s">
        <v>3188</v>
      </c>
      <c r="F390" t="s">
        <v>3188</v>
      </c>
      <c r="G390" s="1">
        <v>44312</v>
      </c>
      <c r="H390" s="1">
        <v>44308</v>
      </c>
      <c r="I390">
        <v>1</v>
      </c>
      <c r="K390" t="s">
        <v>3189</v>
      </c>
      <c r="L390" t="s">
        <v>34</v>
      </c>
      <c r="M390" t="s">
        <v>3190</v>
      </c>
      <c r="N390">
        <v>941.1</v>
      </c>
      <c r="O390" t="s">
        <v>3191</v>
      </c>
      <c r="P390" t="s">
        <v>18</v>
      </c>
    </row>
    <row r="391" spans="1:16" x14ac:dyDescent="0.35">
      <c r="A391">
        <v>6577230</v>
      </c>
      <c r="B391" t="s">
        <v>3192</v>
      </c>
      <c r="C391" t="str">
        <f>"9780323851510"</f>
        <v>9780323851510</v>
      </c>
      <c r="D391" t="str">
        <f>"9780323859189"</f>
        <v>9780323859189</v>
      </c>
      <c r="E391" t="s">
        <v>1699</v>
      </c>
      <c r="F391" t="s">
        <v>1699</v>
      </c>
      <c r="G391" s="1">
        <v>44309</v>
      </c>
      <c r="H391" s="1">
        <v>44315</v>
      </c>
      <c r="K391" t="s">
        <v>3193</v>
      </c>
      <c r="L391" t="s">
        <v>38</v>
      </c>
      <c r="N391">
        <v>307.76028500000001</v>
      </c>
      <c r="P391" t="s">
        <v>18</v>
      </c>
    </row>
    <row r="392" spans="1:16" x14ac:dyDescent="0.35">
      <c r="A392">
        <v>6526198</v>
      </c>
      <c r="B392" t="s">
        <v>3194</v>
      </c>
      <c r="C392" t="str">
        <f>"9780567694942"</f>
        <v>9780567694942</v>
      </c>
      <c r="D392" t="str">
        <f>"9780567694973"</f>
        <v>9780567694973</v>
      </c>
      <c r="E392" t="s">
        <v>354</v>
      </c>
      <c r="F392" t="s">
        <v>454</v>
      </c>
      <c r="G392" s="1">
        <v>44308</v>
      </c>
      <c r="H392" s="1">
        <v>44280</v>
      </c>
      <c r="J392" t="s">
        <v>467</v>
      </c>
      <c r="K392" t="s">
        <v>3195</v>
      </c>
      <c r="L392" t="s">
        <v>37</v>
      </c>
      <c r="M392" t="s">
        <v>3196</v>
      </c>
      <c r="N392">
        <v>225.864</v>
      </c>
      <c r="O392" t="s">
        <v>3197</v>
      </c>
      <c r="P392" t="s">
        <v>18</v>
      </c>
    </row>
    <row r="393" spans="1:16" x14ac:dyDescent="0.35">
      <c r="A393">
        <v>6540068</v>
      </c>
      <c r="B393" t="s">
        <v>3198</v>
      </c>
      <c r="C393" t="str">
        <f>"9781793625014"</f>
        <v>9781793625014</v>
      </c>
      <c r="D393" t="str">
        <f>"9781793625021"</f>
        <v>9781793625021</v>
      </c>
      <c r="E393" t="s">
        <v>445</v>
      </c>
      <c r="F393" t="s">
        <v>445</v>
      </c>
      <c r="G393" s="1">
        <v>44307</v>
      </c>
      <c r="H393" s="1">
        <v>44296</v>
      </c>
      <c r="J393" t="s">
        <v>2378</v>
      </c>
      <c r="K393" t="s">
        <v>3199</v>
      </c>
      <c r="L393" t="s">
        <v>1796</v>
      </c>
      <c r="M393" t="s">
        <v>3200</v>
      </c>
      <c r="N393">
        <v>628</v>
      </c>
      <c r="O393" t="s">
        <v>3201</v>
      </c>
      <c r="P393" t="s">
        <v>18</v>
      </c>
    </row>
    <row r="394" spans="1:16" x14ac:dyDescent="0.35">
      <c r="A394">
        <v>6552078</v>
      </c>
      <c r="B394" t="s">
        <v>3202</v>
      </c>
      <c r="C394" t="str">
        <f>"9781536195446"</f>
        <v>9781536195446</v>
      </c>
      <c r="D394" t="str">
        <f>"9781536195569"</f>
        <v>9781536195569</v>
      </c>
      <c r="E394" t="s">
        <v>1689</v>
      </c>
      <c r="F394" t="s">
        <v>1689</v>
      </c>
      <c r="G394" s="1">
        <v>44307</v>
      </c>
      <c r="H394" s="1">
        <v>44303</v>
      </c>
      <c r="I394">
        <v>1</v>
      </c>
      <c r="J394" t="s">
        <v>3043</v>
      </c>
      <c r="K394" t="s">
        <v>3203</v>
      </c>
      <c r="L394" t="s">
        <v>3204</v>
      </c>
      <c r="P394" t="s">
        <v>18</v>
      </c>
    </row>
    <row r="395" spans="1:16" x14ac:dyDescent="0.35">
      <c r="A395">
        <v>6465726</v>
      </c>
      <c r="B395" t="s">
        <v>3205</v>
      </c>
      <c r="C395" t="str">
        <f>"9781912217991"</f>
        <v>9781912217991</v>
      </c>
      <c r="D395" t="str">
        <f>"9781789940008"</f>
        <v>9781789940008</v>
      </c>
      <c r="E395" t="s">
        <v>354</v>
      </c>
      <c r="F395" t="s">
        <v>3206</v>
      </c>
      <c r="G395" s="1">
        <v>44306</v>
      </c>
      <c r="H395" s="1">
        <v>44226</v>
      </c>
      <c r="K395" t="s">
        <v>3207</v>
      </c>
      <c r="L395" t="s">
        <v>27</v>
      </c>
      <c r="M395" t="s">
        <v>3208</v>
      </c>
      <c r="N395">
        <v>738.18</v>
      </c>
      <c r="O395" t="s">
        <v>3209</v>
      </c>
      <c r="P395" t="s">
        <v>18</v>
      </c>
    </row>
    <row r="396" spans="1:16" x14ac:dyDescent="0.35">
      <c r="A396">
        <v>6800975</v>
      </c>
      <c r="B396" t="s">
        <v>3210</v>
      </c>
      <c r="C396" t="str">
        <f>"9789264581654"</f>
        <v>9789264581654</v>
      </c>
      <c r="D396" t="str">
        <f>"9789264966697"</f>
        <v>9789264966697</v>
      </c>
      <c r="E396" t="s">
        <v>366</v>
      </c>
      <c r="F396" t="s">
        <v>201</v>
      </c>
      <c r="G396" s="1">
        <v>44306</v>
      </c>
      <c r="H396" s="1">
        <v>44511</v>
      </c>
      <c r="I396">
        <v>1</v>
      </c>
      <c r="K396" t="s">
        <v>201</v>
      </c>
      <c r="L396" t="s">
        <v>42</v>
      </c>
      <c r="P396" t="s">
        <v>18</v>
      </c>
    </row>
    <row r="397" spans="1:16" x14ac:dyDescent="0.35">
      <c r="A397">
        <v>6526830</v>
      </c>
      <c r="B397" t="s">
        <v>3211</v>
      </c>
      <c r="C397" t="str">
        <f>"9789004372870"</f>
        <v>9789004372870</v>
      </c>
      <c r="D397" t="str">
        <f>"9789004372887"</f>
        <v>9789004372887</v>
      </c>
      <c r="E397" t="s">
        <v>228</v>
      </c>
      <c r="F397" t="s">
        <v>228</v>
      </c>
      <c r="G397" s="1">
        <v>44304</v>
      </c>
      <c r="H397" s="1">
        <v>44281</v>
      </c>
      <c r="I397">
        <v>1</v>
      </c>
      <c r="K397" t="s">
        <v>3212</v>
      </c>
      <c r="L397" t="s">
        <v>23</v>
      </c>
      <c r="M397" t="s">
        <v>3213</v>
      </c>
      <c r="N397">
        <v>341.762</v>
      </c>
      <c r="O397" t="s">
        <v>3214</v>
      </c>
      <c r="P397" t="s">
        <v>18</v>
      </c>
    </row>
    <row r="398" spans="1:16" x14ac:dyDescent="0.35">
      <c r="A398">
        <v>6509563</v>
      </c>
      <c r="B398" t="s">
        <v>3215</v>
      </c>
      <c r="C398" t="str">
        <f>"9781799867883"</f>
        <v>9781799867883</v>
      </c>
      <c r="D398" t="str">
        <f>"9781799867913"</f>
        <v>9781799867913</v>
      </c>
      <c r="E398" t="s">
        <v>138</v>
      </c>
      <c r="F398" t="s">
        <v>1769</v>
      </c>
      <c r="G398" s="1">
        <v>44302</v>
      </c>
      <c r="H398" s="1">
        <v>44261</v>
      </c>
      <c r="K398" t="s">
        <v>3216</v>
      </c>
      <c r="L398" t="s">
        <v>28</v>
      </c>
      <c r="M398" t="s">
        <v>3217</v>
      </c>
      <c r="N398" t="s">
        <v>268</v>
      </c>
      <c r="O398" t="s">
        <v>2546</v>
      </c>
      <c r="P398" t="s">
        <v>18</v>
      </c>
    </row>
    <row r="399" spans="1:16" x14ac:dyDescent="0.35">
      <c r="A399">
        <v>6527555</v>
      </c>
      <c r="B399" t="s">
        <v>3218</v>
      </c>
      <c r="C399" t="str">
        <f>"9781799876267"</f>
        <v>9781799876267</v>
      </c>
      <c r="D399" t="str">
        <f>"9781799876281"</f>
        <v>9781799876281</v>
      </c>
      <c r="E399" t="s">
        <v>138</v>
      </c>
      <c r="F399" t="s">
        <v>1764</v>
      </c>
      <c r="G399" s="1">
        <v>44302</v>
      </c>
      <c r="H399" s="1">
        <v>44282</v>
      </c>
      <c r="K399" t="s">
        <v>3219</v>
      </c>
      <c r="L399" t="s">
        <v>178</v>
      </c>
      <c r="M399" t="s">
        <v>3220</v>
      </c>
      <c r="N399">
        <v>388.04899999999998</v>
      </c>
      <c r="O399" t="s">
        <v>3221</v>
      </c>
      <c r="P399" t="s">
        <v>18</v>
      </c>
    </row>
    <row r="400" spans="1:16" x14ac:dyDescent="0.35">
      <c r="A400">
        <v>6458959</v>
      </c>
      <c r="B400" t="s">
        <v>3222</v>
      </c>
      <c r="C400" t="str">
        <f>"9783035718300"</f>
        <v>9783035718300</v>
      </c>
      <c r="D400" t="str">
        <f>"9783035738308"</f>
        <v>9783035738308</v>
      </c>
      <c r="E400" t="s">
        <v>1649</v>
      </c>
      <c r="F400" t="s">
        <v>1649</v>
      </c>
      <c r="G400" s="1">
        <v>44301</v>
      </c>
      <c r="H400" s="1">
        <v>44216</v>
      </c>
      <c r="I400">
        <v>1</v>
      </c>
      <c r="J400" t="s">
        <v>1671</v>
      </c>
      <c r="K400" t="s">
        <v>3223</v>
      </c>
      <c r="L400" t="s">
        <v>208</v>
      </c>
      <c r="N400">
        <v>620.11</v>
      </c>
      <c r="P400" t="s">
        <v>18</v>
      </c>
    </row>
    <row r="401" spans="1:16" x14ac:dyDescent="0.35">
      <c r="A401">
        <v>6516182</v>
      </c>
      <c r="B401" t="s">
        <v>3224</v>
      </c>
      <c r="C401" t="str">
        <f>"9781642832020"</f>
        <v>9781642832020</v>
      </c>
      <c r="D401" t="str">
        <f>"9781642832037"</f>
        <v>9781642832037</v>
      </c>
      <c r="E401" t="s">
        <v>2154</v>
      </c>
      <c r="F401" t="s">
        <v>2154</v>
      </c>
      <c r="G401" s="1">
        <v>44301</v>
      </c>
      <c r="H401" s="1">
        <v>44269</v>
      </c>
      <c r="I401">
        <v>1</v>
      </c>
      <c r="K401" t="s">
        <v>3225</v>
      </c>
      <c r="L401" t="s">
        <v>403</v>
      </c>
      <c r="M401" t="s">
        <v>3226</v>
      </c>
      <c r="N401">
        <v>591.68099400000006</v>
      </c>
      <c r="P401" t="s">
        <v>18</v>
      </c>
    </row>
    <row r="402" spans="1:16" x14ac:dyDescent="0.35">
      <c r="A402">
        <v>6551430</v>
      </c>
      <c r="B402" t="s">
        <v>3227</v>
      </c>
      <c r="C402" t="str">
        <f>"9780128201237"</f>
        <v>9780128201237</v>
      </c>
      <c r="D402" t="str">
        <f>"9780128203958"</f>
        <v>9780128203958</v>
      </c>
      <c r="E402" t="s">
        <v>1699</v>
      </c>
      <c r="F402" t="s">
        <v>1699</v>
      </c>
      <c r="G402" s="1">
        <v>44301</v>
      </c>
      <c r="H402" s="1">
        <v>44302</v>
      </c>
      <c r="K402" t="s">
        <v>3228</v>
      </c>
      <c r="L402" t="s">
        <v>3229</v>
      </c>
      <c r="M402" t="s">
        <v>3230</v>
      </c>
      <c r="N402">
        <v>363.7</v>
      </c>
      <c r="O402" t="s">
        <v>3231</v>
      </c>
      <c r="P402" t="s">
        <v>18</v>
      </c>
    </row>
    <row r="403" spans="1:16" x14ac:dyDescent="0.35">
      <c r="A403">
        <v>6565272</v>
      </c>
      <c r="B403" t="s">
        <v>3232</v>
      </c>
      <c r="C403" t="str">
        <f>"9781839100888"</f>
        <v>9781839100888</v>
      </c>
      <c r="D403" t="str">
        <f>"9781839100895"</f>
        <v>9781839100895</v>
      </c>
      <c r="E403" t="s">
        <v>2080</v>
      </c>
      <c r="F403" t="s">
        <v>2080</v>
      </c>
      <c r="G403" s="1">
        <v>44299</v>
      </c>
      <c r="H403" s="1">
        <v>44310</v>
      </c>
      <c r="J403" t="s">
        <v>3233</v>
      </c>
      <c r="K403" t="s">
        <v>428</v>
      </c>
      <c r="L403" t="s">
        <v>308</v>
      </c>
      <c r="M403" t="s">
        <v>3234</v>
      </c>
      <c r="N403">
        <v>338.47910000000002</v>
      </c>
      <c r="O403" t="s">
        <v>3235</v>
      </c>
      <c r="P403" t="s">
        <v>18</v>
      </c>
    </row>
    <row r="404" spans="1:16" x14ac:dyDescent="0.35">
      <c r="A404">
        <v>6541324</v>
      </c>
      <c r="B404" t="s">
        <v>3236</v>
      </c>
      <c r="C404" t="str">
        <f>"9781799822493"</f>
        <v>9781799822493</v>
      </c>
      <c r="D404" t="str">
        <f>"9781799822523"</f>
        <v>9781799822523</v>
      </c>
      <c r="E404" t="s">
        <v>138</v>
      </c>
      <c r="F404" t="s">
        <v>1764</v>
      </c>
      <c r="G404" s="1">
        <v>44295</v>
      </c>
      <c r="H404" s="1">
        <v>44296</v>
      </c>
      <c r="K404" t="s">
        <v>3237</v>
      </c>
      <c r="L404" t="s">
        <v>38</v>
      </c>
      <c r="M404" t="s">
        <v>3238</v>
      </c>
      <c r="N404" t="s">
        <v>3239</v>
      </c>
      <c r="O404" t="s">
        <v>3240</v>
      </c>
      <c r="P404" t="s">
        <v>18</v>
      </c>
    </row>
    <row r="405" spans="1:16" x14ac:dyDescent="0.35">
      <c r="A405">
        <v>6468466</v>
      </c>
      <c r="B405" t="s">
        <v>3241</v>
      </c>
      <c r="C405" t="str">
        <f>"9781501372865"</f>
        <v>9781501372865</v>
      </c>
      <c r="D405" t="str">
        <f>"9781501372896"</f>
        <v>9781501372896</v>
      </c>
      <c r="E405" t="s">
        <v>392</v>
      </c>
      <c r="F405" t="s">
        <v>392</v>
      </c>
      <c r="G405" s="1">
        <v>44294</v>
      </c>
      <c r="H405" s="1">
        <v>44231</v>
      </c>
      <c r="J405" t="s">
        <v>3242</v>
      </c>
      <c r="K405" t="s">
        <v>3243</v>
      </c>
      <c r="L405" t="s">
        <v>25</v>
      </c>
      <c r="M405" t="s">
        <v>3244</v>
      </c>
      <c r="N405">
        <v>155.91499999999999</v>
      </c>
      <c r="O405" t="s">
        <v>3245</v>
      </c>
      <c r="P405" t="s">
        <v>18</v>
      </c>
    </row>
    <row r="406" spans="1:16" x14ac:dyDescent="0.35">
      <c r="A406">
        <v>6525085</v>
      </c>
      <c r="B406" t="s">
        <v>3246</v>
      </c>
      <c r="C406" t="str">
        <f>"9781642831269"</f>
        <v>9781642831269</v>
      </c>
      <c r="D406" t="str">
        <f>"9781642831276"</f>
        <v>9781642831276</v>
      </c>
      <c r="E406" t="s">
        <v>2154</v>
      </c>
      <c r="F406" t="s">
        <v>2154</v>
      </c>
      <c r="G406" s="1">
        <v>44294</v>
      </c>
      <c r="H406" s="1">
        <v>44279</v>
      </c>
      <c r="I406">
        <v>1</v>
      </c>
      <c r="K406" t="s">
        <v>3247</v>
      </c>
      <c r="L406" t="s">
        <v>358</v>
      </c>
      <c r="M406" t="s">
        <v>3248</v>
      </c>
      <c r="N406">
        <v>333.73153097940002</v>
      </c>
      <c r="O406" t="s">
        <v>3249</v>
      </c>
      <c r="P406" t="s">
        <v>18</v>
      </c>
    </row>
    <row r="407" spans="1:16" x14ac:dyDescent="0.35">
      <c r="A407">
        <v>6543649</v>
      </c>
      <c r="B407" t="s">
        <v>3250</v>
      </c>
      <c r="C407" t="str">
        <f>"9781527567184"</f>
        <v>9781527567184</v>
      </c>
      <c r="D407" t="str">
        <f>"9781527568013"</f>
        <v>9781527568013</v>
      </c>
      <c r="E407" t="s">
        <v>1662</v>
      </c>
      <c r="F407" t="s">
        <v>1662</v>
      </c>
      <c r="G407" s="1">
        <v>44294</v>
      </c>
      <c r="H407" s="1">
        <v>44296</v>
      </c>
      <c r="K407" t="s">
        <v>3251</v>
      </c>
      <c r="L407" t="s">
        <v>308</v>
      </c>
      <c r="M407" t="s">
        <v>3252</v>
      </c>
      <c r="N407">
        <v>338.47910914599998</v>
      </c>
      <c r="O407" t="s">
        <v>3253</v>
      </c>
      <c r="P407" t="s">
        <v>18</v>
      </c>
    </row>
    <row r="408" spans="1:16" x14ac:dyDescent="0.35">
      <c r="A408">
        <v>6565008</v>
      </c>
      <c r="B408" t="s">
        <v>3254</v>
      </c>
      <c r="C408" t="str">
        <f>"9781536194517"</f>
        <v>9781536194517</v>
      </c>
      <c r="D408" t="str">
        <f>"9781536195194"</f>
        <v>9781536195194</v>
      </c>
      <c r="E408" t="s">
        <v>1689</v>
      </c>
      <c r="F408" t="s">
        <v>3255</v>
      </c>
      <c r="G408" s="1">
        <v>44294</v>
      </c>
      <c r="H408" s="1">
        <v>44310</v>
      </c>
      <c r="I408">
        <v>1</v>
      </c>
      <c r="J408" t="s">
        <v>3256</v>
      </c>
      <c r="K408" t="s">
        <v>3257</v>
      </c>
      <c r="L408" t="s">
        <v>3258</v>
      </c>
      <c r="M408" t="s">
        <v>3259</v>
      </c>
      <c r="N408">
        <v>333.95416</v>
      </c>
      <c r="O408" t="s">
        <v>3260</v>
      </c>
      <c r="P408" t="s">
        <v>18</v>
      </c>
    </row>
    <row r="409" spans="1:16" x14ac:dyDescent="0.35">
      <c r="A409">
        <v>6533631</v>
      </c>
      <c r="B409" t="s">
        <v>3261</v>
      </c>
      <c r="C409" t="str">
        <f>"9780128202975"</f>
        <v>9780128202975</v>
      </c>
      <c r="D409" t="str">
        <f>"9780128223925"</f>
        <v>9780128223925</v>
      </c>
      <c r="E409" t="s">
        <v>190</v>
      </c>
      <c r="F409" t="s">
        <v>191</v>
      </c>
      <c r="G409" s="1">
        <v>44293</v>
      </c>
      <c r="H409" s="1">
        <v>44289</v>
      </c>
      <c r="J409" t="s">
        <v>3262</v>
      </c>
      <c r="K409" t="s">
        <v>3263</v>
      </c>
      <c r="L409" t="s">
        <v>3264</v>
      </c>
      <c r="M409" t="s">
        <v>3265</v>
      </c>
      <c r="N409">
        <v>333.95389999999998</v>
      </c>
      <c r="O409" t="s">
        <v>3266</v>
      </c>
      <c r="P409" t="s">
        <v>18</v>
      </c>
    </row>
    <row r="410" spans="1:16" x14ac:dyDescent="0.35">
      <c r="A410">
        <v>6543646</v>
      </c>
      <c r="B410" t="s">
        <v>3267</v>
      </c>
      <c r="C410" t="str">
        <f>"9781527566644"</f>
        <v>9781527566644</v>
      </c>
      <c r="D410" t="str">
        <f>"9781527567894"</f>
        <v>9781527567894</v>
      </c>
      <c r="E410" t="s">
        <v>1662</v>
      </c>
      <c r="F410" t="s">
        <v>1662</v>
      </c>
      <c r="G410" s="1">
        <v>44293</v>
      </c>
      <c r="H410" s="1">
        <v>44296</v>
      </c>
      <c r="K410" t="s">
        <v>3268</v>
      </c>
      <c r="L410" t="s">
        <v>39</v>
      </c>
      <c r="M410" t="s">
        <v>3269</v>
      </c>
      <c r="N410">
        <v>333.714</v>
      </c>
      <c r="O410" t="s">
        <v>3270</v>
      </c>
      <c r="P410" t="s">
        <v>18</v>
      </c>
    </row>
    <row r="411" spans="1:16" x14ac:dyDescent="0.35">
      <c r="A411">
        <v>6528149</v>
      </c>
      <c r="B411" t="s">
        <v>3271</v>
      </c>
      <c r="C411" t="str">
        <f>"9780128241189"</f>
        <v>9780128241189</v>
      </c>
      <c r="D411" t="str">
        <f>"9780323859219"</f>
        <v>9780323859219</v>
      </c>
      <c r="E411" t="s">
        <v>190</v>
      </c>
      <c r="F411" t="s">
        <v>191</v>
      </c>
      <c r="G411" s="1">
        <v>44292</v>
      </c>
      <c r="H411" s="1">
        <v>44285</v>
      </c>
      <c r="J411" t="s">
        <v>2126</v>
      </c>
      <c r="K411" t="s">
        <v>3272</v>
      </c>
      <c r="L411" t="s">
        <v>56</v>
      </c>
      <c r="M411" t="s">
        <v>3273</v>
      </c>
      <c r="N411">
        <v>6.35</v>
      </c>
      <c r="O411" t="s">
        <v>3274</v>
      </c>
      <c r="P411" t="s">
        <v>18</v>
      </c>
    </row>
    <row r="412" spans="1:16" x14ac:dyDescent="0.35">
      <c r="A412">
        <v>6534976</v>
      </c>
      <c r="B412" t="s">
        <v>3275</v>
      </c>
      <c r="C412" t="str">
        <f>""</f>
        <v/>
      </c>
      <c r="D412" t="str">
        <f>"9781510764194"</f>
        <v>9781510764194</v>
      </c>
      <c r="E412" t="s">
        <v>3276</v>
      </c>
      <c r="F412" t="s">
        <v>3276</v>
      </c>
      <c r="G412" s="1">
        <v>44292</v>
      </c>
      <c r="H412" s="1">
        <v>44293</v>
      </c>
      <c r="K412" t="s">
        <v>3277</v>
      </c>
      <c r="L412" t="s">
        <v>2458</v>
      </c>
      <c r="M412" t="s">
        <v>3278</v>
      </c>
      <c r="N412">
        <v>640</v>
      </c>
      <c r="O412" t="s">
        <v>3279</v>
      </c>
      <c r="P412" t="s">
        <v>18</v>
      </c>
    </row>
    <row r="413" spans="1:16" x14ac:dyDescent="0.35">
      <c r="A413">
        <v>6523054</v>
      </c>
      <c r="B413" t="s">
        <v>3280</v>
      </c>
      <c r="C413" t="str">
        <f>"9781799876342"</f>
        <v>9781799876342</v>
      </c>
      <c r="D413" t="str">
        <f>"9781799876366"</f>
        <v>9781799876366</v>
      </c>
      <c r="E413" t="s">
        <v>138</v>
      </c>
      <c r="F413" t="s">
        <v>1769</v>
      </c>
      <c r="G413" s="1">
        <v>44288</v>
      </c>
      <c r="H413" s="1">
        <v>44275</v>
      </c>
      <c r="K413" t="s">
        <v>3281</v>
      </c>
      <c r="L413" t="s">
        <v>28</v>
      </c>
      <c r="M413" t="s">
        <v>3282</v>
      </c>
      <c r="N413">
        <v>658.40830000000005</v>
      </c>
      <c r="O413" t="s">
        <v>3283</v>
      </c>
      <c r="P413" t="s">
        <v>18</v>
      </c>
    </row>
    <row r="414" spans="1:16" x14ac:dyDescent="0.35">
      <c r="A414">
        <v>6527557</v>
      </c>
      <c r="B414" t="s">
        <v>3284</v>
      </c>
      <c r="C414" t="str">
        <f>""</f>
        <v/>
      </c>
      <c r="D414" t="str">
        <f>"9781799861911"</f>
        <v>9781799861911</v>
      </c>
      <c r="E414" t="s">
        <v>138</v>
      </c>
      <c r="F414" t="s">
        <v>138</v>
      </c>
      <c r="G414" s="1">
        <v>44287</v>
      </c>
      <c r="H414" s="1">
        <v>44282</v>
      </c>
      <c r="K414" t="s">
        <v>2410</v>
      </c>
      <c r="L414" t="s">
        <v>3285</v>
      </c>
      <c r="M414" t="s">
        <v>3286</v>
      </c>
      <c r="N414">
        <v>605</v>
      </c>
      <c r="O414" t="s">
        <v>2412</v>
      </c>
      <c r="P414" t="s">
        <v>18</v>
      </c>
    </row>
    <row r="415" spans="1:16" x14ac:dyDescent="0.35">
      <c r="A415">
        <v>6628786</v>
      </c>
      <c r="B415" t="s">
        <v>3287</v>
      </c>
      <c r="C415" t="str">
        <f>"9781527564688"</f>
        <v>9781527564688</v>
      </c>
      <c r="D415" t="str">
        <f>"9781527569430"</f>
        <v>9781527569430</v>
      </c>
      <c r="E415" t="s">
        <v>1662</v>
      </c>
      <c r="F415" t="s">
        <v>1662</v>
      </c>
      <c r="G415" s="1">
        <v>44287</v>
      </c>
      <c r="H415" s="1">
        <v>44338</v>
      </c>
      <c r="K415" t="s">
        <v>3288</v>
      </c>
      <c r="L415" t="s">
        <v>124</v>
      </c>
      <c r="M415" t="s">
        <v>3289</v>
      </c>
      <c r="N415">
        <v>610</v>
      </c>
      <c r="O415" t="s">
        <v>3290</v>
      </c>
      <c r="P415" t="s">
        <v>18</v>
      </c>
    </row>
    <row r="416" spans="1:16" x14ac:dyDescent="0.35">
      <c r="A416">
        <v>6632642</v>
      </c>
      <c r="B416" t="s">
        <v>3291</v>
      </c>
      <c r="C416" t="str">
        <f>""</f>
        <v/>
      </c>
      <c r="D416" t="str">
        <f>"9781799862659"</f>
        <v>9781799862659</v>
      </c>
      <c r="E416" t="s">
        <v>138</v>
      </c>
      <c r="F416" t="s">
        <v>138</v>
      </c>
      <c r="G416" s="1">
        <v>44287</v>
      </c>
      <c r="H416" s="1">
        <v>44345</v>
      </c>
      <c r="K416" t="s">
        <v>3292</v>
      </c>
      <c r="L416" t="s">
        <v>26</v>
      </c>
      <c r="M416" t="s">
        <v>2825</v>
      </c>
      <c r="N416">
        <v>338.92700000000002</v>
      </c>
      <c r="O416" t="s">
        <v>2322</v>
      </c>
      <c r="P416" t="s">
        <v>18</v>
      </c>
    </row>
    <row r="417" spans="1:16" x14ac:dyDescent="0.35">
      <c r="A417">
        <v>6896527</v>
      </c>
      <c r="B417" t="s">
        <v>3293</v>
      </c>
      <c r="C417" t="str">
        <f>"9781527579927"</f>
        <v>9781527579927</v>
      </c>
      <c r="D417" t="str">
        <f>"9781527579934"</f>
        <v>9781527579934</v>
      </c>
      <c r="E417" t="s">
        <v>1662</v>
      </c>
      <c r="F417" t="s">
        <v>1662</v>
      </c>
      <c r="G417" s="1">
        <v>44287</v>
      </c>
      <c r="H417" s="1">
        <v>44618</v>
      </c>
      <c r="K417" t="s">
        <v>3294</v>
      </c>
      <c r="L417" t="s">
        <v>38</v>
      </c>
      <c r="M417" t="s">
        <v>3295</v>
      </c>
      <c r="N417">
        <v>307.1216</v>
      </c>
      <c r="O417" t="s">
        <v>3296</v>
      </c>
      <c r="P417" t="s">
        <v>18</v>
      </c>
    </row>
    <row r="418" spans="1:16" x14ac:dyDescent="0.35">
      <c r="A418">
        <v>6531343</v>
      </c>
      <c r="B418" t="s">
        <v>3297</v>
      </c>
      <c r="C418" t="str">
        <f>"9780128181157"</f>
        <v>9780128181157</v>
      </c>
      <c r="D418" t="str">
        <f>"9780128181164"</f>
        <v>9780128181164</v>
      </c>
      <c r="E418" t="s">
        <v>1699</v>
      </c>
      <c r="F418" t="s">
        <v>1699</v>
      </c>
      <c r="G418" s="1">
        <v>44286</v>
      </c>
      <c r="H418" s="1">
        <v>44287</v>
      </c>
      <c r="J418" t="s">
        <v>3298</v>
      </c>
      <c r="K418" t="s">
        <v>3299</v>
      </c>
      <c r="L418" t="s">
        <v>26</v>
      </c>
      <c r="M418" t="s">
        <v>3300</v>
      </c>
      <c r="N418" t="s">
        <v>128</v>
      </c>
      <c r="O418" t="s">
        <v>3301</v>
      </c>
      <c r="P418" t="s">
        <v>18</v>
      </c>
    </row>
    <row r="419" spans="1:16" x14ac:dyDescent="0.35">
      <c r="A419">
        <v>6747616</v>
      </c>
      <c r="B419" t="s">
        <v>3302</v>
      </c>
      <c r="C419" t="str">
        <f>"9789264419810"</f>
        <v>9789264419810</v>
      </c>
      <c r="D419" t="str">
        <f>"9789264400344"</f>
        <v>9789264400344</v>
      </c>
      <c r="E419" t="s">
        <v>366</v>
      </c>
      <c r="F419" t="s">
        <v>201</v>
      </c>
      <c r="G419" s="1">
        <v>44286</v>
      </c>
      <c r="H419" s="1">
        <v>44483</v>
      </c>
      <c r="I419">
        <v>1</v>
      </c>
      <c r="K419" t="s">
        <v>201</v>
      </c>
      <c r="L419" t="s">
        <v>105</v>
      </c>
      <c r="M419" t="s">
        <v>3303</v>
      </c>
      <c r="O419" t="s">
        <v>3304</v>
      </c>
      <c r="P419" t="s">
        <v>18</v>
      </c>
    </row>
    <row r="420" spans="1:16" x14ac:dyDescent="0.35">
      <c r="A420">
        <v>6471482</v>
      </c>
      <c r="B420" t="s">
        <v>3305</v>
      </c>
      <c r="C420" t="str">
        <f>"9781789245073"</f>
        <v>9781789245073</v>
      </c>
      <c r="D420" t="str">
        <f>"9781789245097"</f>
        <v>9781789245097</v>
      </c>
      <c r="E420" t="s">
        <v>333</v>
      </c>
      <c r="F420" t="s">
        <v>333</v>
      </c>
      <c r="G420" s="1">
        <v>44285</v>
      </c>
      <c r="H420" s="1">
        <v>44233</v>
      </c>
      <c r="K420" t="s">
        <v>3306</v>
      </c>
      <c r="L420" t="s">
        <v>271</v>
      </c>
      <c r="M420" t="s">
        <v>3307</v>
      </c>
      <c r="N420">
        <v>910.68399999999997</v>
      </c>
      <c r="O420" t="s">
        <v>1964</v>
      </c>
      <c r="P420" t="s">
        <v>18</v>
      </c>
    </row>
    <row r="421" spans="1:16" x14ac:dyDescent="0.35">
      <c r="A421">
        <v>6483565</v>
      </c>
      <c r="B421" t="s">
        <v>3308</v>
      </c>
      <c r="C421" t="str">
        <f>"9781789664546"</f>
        <v>9781789664546</v>
      </c>
      <c r="D421" t="str">
        <f>"9781789664553"</f>
        <v>9781789664553</v>
      </c>
      <c r="E421" t="s">
        <v>215</v>
      </c>
      <c r="F421" t="s">
        <v>215</v>
      </c>
      <c r="G421" s="1">
        <v>44285</v>
      </c>
      <c r="H421" s="1">
        <v>44247</v>
      </c>
      <c r="I421">
        <v>1</v>
      </c>
      <c r="J421" t="s">
        <v>3309</v>
      </c>
      <c r="K421" t="s">
        <v>3310</v>
      </c>
      <c r="L421" t="s">
        <v>41</v>
      </c>
      <c r="M421" t="s">
        <v>3311</v>
      </c>
      <c r="N421">
        <v>332</v>
      </c>
      <c r="O421" t="s">
        <v>3312</v>
      </c>
      <c r="P421" t="s">
        <v>18</v>
      </c>
    </row>
    <row r="422" spans="1:16" x14ac:dyDescent="0.35">
      <c r="A422">
        <v>6527438</v>
      </c>
      <c r="B422" t="s">
        <v>3313</v>
      </c>
      <c r="C422" t="str">
        <f>"9781536191745"</f>
        <v>9781536191745</v>
      </c>
      <c r="D422" t="str">
        <f>"9781536192162"</f>
        <v>9781536192162</v>
      </c>
      <c r="E422" t="s">
        <v>1689</v>
      </c>
      <c r="F422" t="s">
        <v>1689</v>
      </c>
      <c r="G422" s="1">
        <v>44285</v>
      </c>
      <c r="H422" s="1">
        <v>44282</v>
      </c>
      <c r="I422">
        <v>1</v>
      </c>
      <c r="J422" t="s">
        <v>3314</v>
      </c>
      <c r="K422" t="s">
        <v>3315</v>
      </c>
      <c r="L422" t="s">
        <v>38</v>
      </c>
      <c r="M422" t="s">
        <v>3316</v>
      </c>
      <c r="N422">
        <v>302.3</v>
      </c>
      <c r="O422" t="s">
        <v>3317</v>
      </c>
      <c r="P422" t="s">
        <v>18</v>
      </c>
    </row>
    <row r="423" spans="1:16" x14ac:dyDescent="0.35">
      <c r="A423">
        <v>6522380</v>
      </c>
      <c r="B423" t="s">
        <v>3318</v>
      </c>
      <c r="C423" t="str">
        <f>"9781838678388"</f>
        <v>9781838678388</v>
      </c>
      <c r="D423" t="str">
        <f>"9781838678371"</f>
        <v>9781838678371</v>
      </c>
      <c r="E423" t="s">
        <v>187</v>
      </c>
      <c r="F423" t="s">
        <v>187</v>
      </c>
      <c r="G423" s="1">
        <v>44284</v>
      </c>
      <c r="H423" s="1">
        <v>44278</v>
      </c>
      <c r="K423" t="s">
        <v>3319</v>
      </c>
      <c r="L423" t="s">
        <v>92</v>
      </c>
      <c r="M423" t="s">
        <v>252</v>
      </c>
      <c r="N423">
        <v>333.73150917240002</v>
      </c>
      <c r="O423" t="s">
        <v>3320</v>
      </c>
      <c r="P423" t="s">
        <v>18</v>
      </c>
    </row>
    <row r="424" spans="1:16" x14ac:dyDescent="0.35">
      <c r="A424">
        <v>6561898</v>
      </c>
      <c r="B424" t="s">
        <v>3321</v>
      </c>
      <c r="C424" t="str">
        <f>"9783034339742"</f>
        <v>9783034339742</v>
      </c>
      <c r="D424" t="str">
        <f>"9783034342322"</f>
        <v>9783034342322</v>
      </c>
      <c r="E424" t="s">
        <v>3322</v>
      </c>
      <c r="F424" t="s">
        <v>3322</v>
      </c>
      <c r="G424" s="1">
        <v>44284</v>
      </c>
      <c r="H424" s="1">
        <v>44307</v>
      </c>
      <c r="I424">
        <v>1</v>
      </c>
      <c r="K424" t="s">
        <v>3323</v>
      </c>
      <c r="L424" t="s">
        <v>26</v>
      </c>
      <c r="P424" t="s">
        <v>18</v>
      </c>
    </row>
    <row r="425" spans="1:16" x14ac:dyDescent="0.35">
      <c r="A425">
        <v>6747626</v>
      </c>
      <c r="B425" t="s">
        <v>3324</v>
      </c>
      <c r="C425" t="str">
        <f>"9789264532045"</f>
        <v>9789264532045</v>
      </c>
      <c r="D425" t="str">
        <f>"9789264667389"</f>
        <v>9789264667389</v>
      </c>
      <c r="E425" t="s">
        <v>200</v>
      </c>
      <c r="F425" t="s">
        <v>200</v>
      </c>
      <c r="G425" s="1">
        <v>44284</v>
      </c>
      <c r="H425" s="1">
        <v>44483</v>
      </c>
      <c r="I425">
        <v>1</v>
      </c>
      <c r="K425" t="s">
        <v>201</v>
      </c>
      <c r="L425" t="s">
        <v>28</v>
      </c>
      <c r="M425" t="s">
        <v>3325</v>
      </c>
      <c r="O425" t="s">
        <v>3326</v>
      </c>
      <c r="P425" t="s">
        <v>18</v>
      </c>
    </row>
    <row r="426" spans="1:16" x14ac:dyDescent="0.35">
      <c r="A426">
        <v>6526153</v>
      </c>
      <c r="B426" t="s">
        <v>3327</v>
      </c>
      <c r="C426" t="str">
        <f>"9780323858298"</f>
        <v>9780323858298</v>
      </c>
      <c r="D426" t="str">
        <f>"9780323858304"</f>
        <v>9780323858304</v>
      </c>
      <c r="E426" t="s">
        <v>190</v>
      </c>
      <c r="F426" t="s">
        <v>280</v>
      </c>
      <c r="G426" s="1">
        <v>44281</v>
      </c>
      <c r="H426" s="1">
        <v>44280</v>
      </c>
      <c r="J426" t="s">
        <v>2510</v>
      </c>
      <c r="K426" t="s">
        <v>3328</v>
      </c>
      <c r="L426" t="s">
        <v>3329</v>
      </c>
      <c r="M426" t="s">
        <v>3330</v>
      </c>
      <c r="N426">
        <v>628.16836999999998</v>
      </c>
      <c r="O426" t="s">
        <v>3331</v>
      </c>
      <c r="P426" t="s">
        <v>18</v>
      </c>
    </row>
    <row r="427" spans="1:16" x14ac:dyDescent="0.35">
      <c r="A427">
        <v>6526631</v>
      </c>
      <c r="B427" t="s">
        <v>3332</v>
      </c>
      <c r="C427" t="str">
        <f>"9781789904413"</f>
        <v>9781789904413</v>
      </c>
      <c r="D427" t="str">
        <f>"9781789904420"</f>
        <v>9781789904420</v>
      </c>
      <c r="E427" t="s">
        <v>2080</v>
      </c>
      <c r="F427" t="s">
        <v>2080</v>
      </c>
      <c r="G427" s="1">
        <v>44281</v>
      </c>
      <c r="H427" s="1">
        <v>44281</v>
      </c>
      <c r="J427" t="s">
        <v>2456</v>
      </c>
      <c r="K427" t="s">
        <v>3333</v>
      </c>
      <c r="L427" t="s">
        <v>28</v>
      </c>
      <c r="M427" t="s">
        <v>3334</v>
      </c>
      <c r="N427">
        <v>658.04499999999996</v>
      </c>
      <c r="O427" t="s">
        <v>3335</v>
      </c>
      <c r="P427" t="s">
        <v>18</v>
      </c>
    </row>
    <row r="428" spans="1:16" x14ac:dyDescent="0.35">
      <c r="A428">
        <v>6518946</v>
      </c>
      <c r="B428" t="s">
        <v>3336</v>
      </c>
      <c r="C428" t="str">
        <f>"9781800437791"</f>
        <v>9781800437791</v>
      </c>
      <c r="D428" t="str">
        <f>"9781800437807"</f>
        <v>9781800437807</v>
      </c>
      <c r="E428" t="s">
        <v>187</v>
      </c>
      <c r="F428" t="s">
        <v>187</v>
      </c>
      <c r="G428" s="1">
        <v>44280</v>
      </c>
      <c r="H428" s="1">
        <v>44271</v>
      </c>
      <c r="J428" t="s">
        <v>2338</v>
      </c>
      <c r="K428" t="s">
        <v>3337</v>
      </c>
      <c r="L428" t="s">
        <v>28</v>
      </c>
      <c r="M428" t="s">
        <v>3338</v>
      </c>
      <c r="N428">
        <v>658.40800000000002</v>
      </c>
      <c r="O428" t="s">
        <v>3339</v>
      </c>
      <c r="P428" t="s">
        <v>18</v>
      </c>
    </row>
    <row r="429" spans="1:16" x14ac:dyDescent="0.35">
      <c r="A429">
        <v>6747620</v>
      </c>
      <c r="B429" t="s">
        <v>3340</v>
      </c>
      <c r="C429" t="str">
        <f>"9789264581708"</f>
        <v>9789264581708</v>
      </c>
      <c r="D429" t="str">
        <f>"9789264429888"</f>
        <v>9789264429888</v>
      </c>
      <c r="E429" t="s">
        <v>366</v>
      </c>
      <c r="F429" t="s">
        <v>201</v>
      </c>
      <c r="G429" s="1">
        <v>44280</v>
      </c>
      <c r="H429" s="1">
        <v>44483</v>
      </c>
      <c r="I429">
        <v>1</v>
      </c>
      <c r="K429" t="s">
        <v>201</v>
      </c>
      <c r="L429" t="s">
        <v>3341</v>
      </c>
      <c r="M429" t="s">
        <v>3342</v>
      </c>
      <c r="O429" t="s">
        <v>3343</v>
      </c>
      <c r="P429" t="s">
        <v>18</v>
      </c>
    </row>
    <row r="430" spans="1:16" x14ac:dyDescent="0.35">
      <c r="A430">
        <v>6747639</v>
      </c>
      <c r="B430" t="s">
        <v>3344</v>
      </c>
      <c r="C430" t="str">
        <f>"9789264315570"</f>
        <v>9789264315570</v>
      </c>
      <c r="D430" t="str">
        <f>"9789264403154"</f>
        <v>9789264403154</v>
      </c>
      <c r="E430" t="s">
        <v>366</v>
      </c>
      <c r="F430" t="s">
        <v>201</v>
      </c>
      <c r="G430" s="1">
        <v>44280</v>
      </c>
      <c r="H430" s="1">
        <v>44483</v>
      </c>
      <c r="I430">
        <v>1</v>
      </c>
      <c r="K430" t="s">
        <v>201</v>
      </c>
      <c r="L430" t="s">
        <v>38</v>
      </c>
      <c r="M430" t="s">
        <v>3345</v>
      </c>
      <c r="O430" t="s">
        <v>3346</v>
      </c>
      <c r="P430" t="s">
        <v>18</v>
      </c>
    </row>
    <row r="431" spans="1:16" x14ac:dyDescent="0.35">
      <c r="A431">
        <v>6747615</v>
      </c>
      <c r="B431" t="s">
        <v>3347</v>
      </c>
      <c r="C431" t="str">
        <f>"9789264583092"</f>
        <v>9789264583092</v>
      </c>
      <c r="D431" t="str">
        <f>"9789264715431"</f>
        <v>9789264715431</v>
      </c>
      <c r="E431" t="s">
        <v>366</v>
      </c>
      <c r="F431" t="s">
        <v>201</v>
      </c>
      <c r="G431" s="1">
        <v>44279</v>
      </c>
      <c r="H431" s="1">
        <v>44483</v>
      </c>
      <c r="I431">
        <v>1</v>
      </c>
      <c r="K431" t="s">
        <v>201</v>
      </c>
      <c r="L431" t="s">
        <v>3341</v>
      </c>
      <c r="M431" t="s">
        <v>3348</v>
      </c>
      <c r="O431" t="s">
        <v>3349</v>
      </c>
      <c r="P431" t="s">
        <v>18</v>
      </c>
    </row>
    <row r="432" spans="1:16" x14ac:dyDescent="0.35">
      <c r="A432">
        <v>6747630</v>
      </c>
      <c r="B432" t="s">
        <v>3350</v>
      </c>
      <c r="C432" t="str">
        <f>"9789264679351"</f>
        <v>9789264679351</v>
      </c>
      <c r="D432" t="str">
        <f>"9789264330276"</f>
        <v>9789264330276</v>
      </c>
      <c r="E432" t="s">
        <v>366</v>
      </c>
      <c r="F432" t="s">
        <v>201</v>
      </c>
      <c r="G432" s="1">
        <v>44279</v>
      </c>
      <c r="H432" s="1">
        <v>44483</v>
      </c>
      <c r="I432">
        <v>1</v>
      </c>
      <c r="K432" t="s">
        <v>201</v>
      </c>
      <c r="L432" t="s">
        <v>42</v>
      </c>
      <c r="P432" t="s">
        <v>18</v>
      </c>
    </row>
    <row r="433" spans="1:16" x14ac:dyDescent="0.35">
      <c r="A433">
        <v>6518949</v>
      </c>
      <c r="B433" t="s">
        <v>3351</v>
      </c>
      <c r="C433" t="str">
        <f>"9781839094996"</f>
        <v>9781839094996</v>
      </c>
      <c r="D433" t="str">
        <f>"9781839094989"</f>
        <v>9781839094989</v>
      </c>
      <c r="E433" t="s">
        <v>187</v>
      </c>
      <c r="F433" t="s">
        <v>187</v>
      </c>
      <c r="G433" s="1">
        <v>44277</v>
      </c>
      <c r="H433" s="1">
        <v>44271</v>
      </c>
      <c r="J433" t="s">
        <v>3352</v>
      </c>
      <c r="K433" t="s">
        <v>3353</v>
      </c>
      <c r="L433" t="s">
        <v>41</v>
      </c>
      <c r="M433" t="s">
        <v>3354</v>
      </c>
      <c r="N433">
        <v>338.47362109400001</v>
      </c>
      <c r="O433" t="s">
        <v>3355</v>
      </c>
      <c r="P433" t="s">
        <v>18</v>
      </c>
    </row>
    <row r="434" spans="1:16" x14ac:dyDescent="0.35">
      <c r="A434">
        <v>6747625</v>
      </c>
      <c r="B434" t="s">
        <v>3356</v>
      </c>
      <c r="C434" t="str">
        <f>"9789264653597"</f>
        <v>9789264653597</v>
      </c>
      <c r="D434" t="str">
        <f>"9789264876484"</f>
        <v>9789264876484</v>
      </c>
      <c r="E434" t="s">
        <v>366</v>
      </c>
      <c r="F434" t="s">
        <v>201</v>
      </c>
      <c r="G434" s="1">
        <v>44277</v>
      </c>
      <c r="H434" s="1">
        <v>44483</v>
      </c>
      <c r="I434">
        <v>1</v>
      </c>
      <c r="K434" t="s">
        <v>201</v>
      </c>
      <c r="L434" t="s">
        <v>3341</v>
      </c>
      <c r="M434" t="s">
        <v>3357</v>
      </c>
      <c r="O434" t="s">
        <v>3358</v>
      </c>
      <c r="P434" t="s">
        <v>18</v>
      </c>
    </row>
    <row r="435" spans="1:16" x14ac:dyDescent="0.35">
      <c r="A435">
        <v>6519259</v>
      </c>
      <c r="B435" t="s">
        <v>3359</v>
      </c>
      <c r="C435" t="str">
        <f>"9780128194829"</f>
        <v>9780128194829</v>
      </c>
      <c r="D435" t="str">
        <f>"9780128194423"</f>
        <v>9780128194423</v>
      </c>
      <c r="E435" t="s">
        <v>1699</v>
      </c>
      <c r="F435" t="s">
        <v>1699</v>
      </c>
      <c r="G435" s="1">
        <v>44274</v>
      </c>
      <c r="H435" s="1">
        <v>44271</v>
      </c>
      <c r="K435" t="s">
        <v>3360</v>
      </c>
      <c r="L435" t="s">
        <v>3361</v>
      </c>
      <c r="M435" t="s">
        <v>3362</v>
      </c>
      <c r="N435">
        <v>658.5752</v>
      </c>
      <c r="O435" t="s">
        <v>3363</v>
      </c>
      <c r="P435" t="s">
        <v>18</v>
      </c>
    </row>
    <row r="436" spans="1:16" x14ac:dyDescent="0.35">
      <c r="A436">
        <v>6521497</v>
      </c>
      <c r="B436" t="s">
        <v>3364</v>
      </c>
      <c r="C436" t="str">
        <f>"9780128217344"</f>
        <v>9780128217344</v>
      </c>
      <c r="D436" t="str">
        <f>"9780128217351"</f>
        <v>9780128217351</v>
      </c>
      <c r="E436" t="s">
        <v>190</v>
      </c>
      <c r="F436" t="s">
        <v>191</v>
      </c>
      <c r="G436" s="1">
        <v>44274</v>
      </c>
      <c r="H436" s="1">
        <v>44273</v>
      </c>
      <c r="K436" t="s">
        <v>3365</v>
      </c>
      <c r="L436" t="s">
        <v>76</v>
      </c>
      <c r="M436" t="s">
        <v>3366</v>
      </c>
      <c r="N436">
        <v>660.62</v>
      </c>
      <c r="O436" t="s">
        <v>3367</v>
      </c>
      <c r="P436" t="s">
        <v>18</v>
      </c>
    </row>
    <row r="437" spans="1:16" x14ac:dyDescent="0.35">
      <c r="A437">
        <v>6521505</v>
      </c>
      <c r="B437" t="s">
        <v>3368</v>
      </c>
      <c r="C437" t="str">
        <f>"9780128227145"</f>
        <v>9780128227145</v>
      </c>
      <c r="D437" t="str">
        <f>"9780128227152"</f>
        <v>9780128227152</v>
      </c>
      <c r="E437" t="s">
        <v>190</v>
      </c>
      <c r="F437" t="s">
        <v>191</v>
      </c>
      <c r="G437" s="1">
        <v>44274</v>
      </c>
      <c r="H437" s="1">
        <v>44273</v>
      </c>
      <c r="K437" t="s">
        <v>3060</v>
      </c>
      <c r="L437" t="s">
        <v>3369</v>
      </c>
      <c r="M437" t="s">
        <v>3370</v>
      </c>
      <c r="N437">
        <v>664.02</v>
      </c>
      <c r="O437" t="s">
        <v>3371</v>
      </c>
      <c r="P437" t="s">
        <v>18</v>
      </c>
    </row>
    <row r="438" spans="1:16" x14ac:dyDescent="0.35">
      <c r="A438">
        <v>6522833</v>
      </c>
      <c r="B438" t="s">
        <v>3372</v>
      </c>
      <c r="C438" t="str">
        <f>"9780128197202"</f>
        <v>9780128197202</v>
      </c>
      <c r="D438" t="str">
        <f>"9780128225561"</f>
        <v>9780128225561</v>
      </c>
      <c r="E438" t="s">
        <v>1699</v>
      </c>
      <c r="F438" t="s">
        <v>1699</v>
      </c>
      <c r="G438" s="1">
        <v>44274</v>
      </c>
      <c r="H438" s="1">
        <v>44275</v>
      </c>
      <c r="K438" t="s">
        <v>3373</v>
      </c>
      <c r="L438" t="s">
        <v>76</v>
      </c>
      <c r="M438" t="s">
        <v>2964</v>
      </c>
      <c r="N438" t="s">
        <v>1687</v>
      </c>
      <c r="O438" t="s">
        <v>3374</v>
      </c>
      <c r="P438" t="s">
        <v>18</v>
      </c>
    </row>
    <row r="439" spans="1:16" x14ac:dyDescent="0.35">
      <c r="A439">
        <v>6488639</v>
      </c>
      <c r="B439" t="s">
        <v>3375</v>
      </c>
      <c r="C439" t="str">
        <f>"9781793617637"</f>
        <v>9781793617637</v>
      </c>
      <c r="D439" t="str">
        <f>"9781793617644"</f>
        <v>9781793617644</v>
      </c>
      <c r="E439" t="s">
        <v>445</v>
      </c>
      <c r="F439" t="s">
        <v>445</v>
      </c>
      <c r="G439" s="1">
        <v>44272</v>
      </c>
      <c r="H439" s="1">
        <v>44252</v>
      </c>
      <c r="K439" t="s">
        <v>3376</v>
      </c>
      <c r="L439" t="s">
        <v>283</v>
      </c>
      <c r="M439" t="s">
        <v>3377</v>
      </c>
      <c r="N439">
        <v>363.7</v>
      </c>
      <c r="O439" t="s">
        <v>712</v>
      </c>
      <c r="P439" t="s">
        <v>18</v>
      </c>
    </row>
    <row r="440" spans="1:16" x14ac:dyDescent="0.35">
      <c r="A440">
        <v>6508488</v>
      </c>
      <c r="B440" t="s">
        <v>3378</v>
      </c>
      <c r="C440" t="str">
        <f>"9781536192285"</f>
        <v>9781536192285</v>
      </c>
      <c r="D440" t="str">
        <f>"9781536192940"</f>
        <v>9781536192940</v>
      </c>
      <c r="E440" t="s">
        <v>1689</v>
      </c>
      <c r="F440" t="s">
        <v>1689</v>
      </c>
      <c r="G440" s="1">
        <v>44272</v>
      </c>
      <c r="H440" s="1">
        <v>44260</v>
      </c>
      <c r="I440">
        <v>1</v>
      </c>
      <c r="J440" t="s">
        <v>3145</v>
      </c>
      <c r="K440" t="s">
        <v>3379</v>
      </c>
      <c r="L440" t="s">
        <v>105</v>
      </c>
      <c r="P440" t="s">
        <v>18</v>
      </c>
    </row>
    <row r="441" spans="1:16" x14ac:dyDescent="0.35">
      <c r="A441">
        <v>6515816</v>
      </c>
      <c r="B441" t="s">
        <v>3380</v>
      </c>
      <c r="C441" t="str">
        <f>"9781536190809"</f>
        <v>9781536190809</v>
      </c>
      <c r="D441" t="str">
        <f>"9781536191400"</f>
        <v>9781536191400</v>
      </c>
      <c r="E441" t="s">
        <v>1689</v>
      </c>
      <c r="F441" t="s">
        <v>1689</v>
      </c>
      <c r="G441" s="1">
        <v>44272</v>
      </c>
      <c r="H441" s="1">
        <v>44268</v>
      </c>
      <c r="I441">
        <v>1</v>
      </c>
      <c r="J441" t="s">
        <v>1815</v>
      </c>
      <c r="K441" t="s">
        <v>3381</v>
      </c>
      <c r="L441" t="s">
        <v>113</v>
      </c>
      <c r="M441" t="s">
        <v>3382</v>
      </c>
      <c r="N441">
        <v>628.35699999999997</v>
      </c>
      <c r="O441" t="s">
        <v>3383</v>
      </c>
      <c r="P441" t="s">
        <v>18</v>
      </c>
    </row>
    <row r="442" spans="1:16" x14ac:dyDescent="0.35">
      <c r="A442">
        <v>6607091</v>
      </c>
      <c r="B442" t="s">
        <v>3384</v>
      </c>
      <c r="C442" t="str">
        <f>"9781536192766"</f>
        <v>9781536192766</v>
      </c>
      <c r="D442" t="str">
        <f>"9781536193589"</f>
        <v>9781536193589</v>
      </c>
      <c r="E442" t="s">
        <v>1689</v>
      </c>
      <c r="F442" t="s">
        <v>1689</v>
      </c>
      <c r="G442" s="1">
        <v>44272</v>
      </c>
      <c r="H442" s="1">
        <v>44324</v>
      </c>
      <c r="I442">
        <v>1</v>
      </c>
      <c r="J442" t="s">
        <v>3033</v>
      </c>
      <c r="K442" t="s">
        <v>3385</v>
      </c>
      <c r="L442" t="s">
        <v>338</v>
      </c>
      <c r="M442" t="s">
        <v>3386</v>
      </c>
      <c r="N442">
        <v>333.72</v>
      </c>
      <c r="O442" t="s">
        <v>3387</v>
      </c>
      <c r="P442" t="s">
        <v>18</v>
      </c>
    </row>
    <row r="443" spans="1:16" x14ac:dyDescent="0.35">
      <c r="A443">
        <v>6747622</v>
      </c>
      <c r="B443" t="s">
        <v>3388</v>
      </c>
      <c r="C443" t="str">
        <f>"9789264667068"</f>
        <v>9789264667068</v>
      </c>
      <c r="D443" t="str">
        <f>"9789264415133"</f>
        <v>9789264415133</v>
      </c>
      <c r="E443" t="s">
        <v>366</v>
      </c>
      <c r="F443" t="s">
        <v>201</v>
      </c>
      <c r="G443" s="1">
        <v>44271</v>
      </c>
      <c r="H443" s="1">
        <v>44483</v>
      </c>
      <c r="I443">
        <v>1</v>
      </c>
      <c r="K443" t="s">
        <v>201</v>
      </c>
      <c r="L443" t="s">
        <v>42</v>
      </c>
      <c r="P443" t="s">
        <v>18</v>
      </c>
    </row>
    <row r="444" spans="1:16" x14ac:dyDescent="0.35">
      <c r="A444">
        <v>6478027</v>
      </c>
      <c r="B444" t="s">
        <v>3389</v>
      </c>
      <c r="C444" t="str">
        <f>"9781793602831"</f>
        <v>9781793602831</v>
      </c>
      <c r="D444" t="str">
        <f>"9781793602848"</f>
        <v>9781793602848</v>
      </c>
      <c r="E444" t="s">
        <v>446</v>
      </c>
      <c r="F444" t="s">
        <v>446</v>
      </c>
      <c r="G444" s="1">
        <v>44267</v>
      </c>
      <c r="H444" s="1">
        <v>44240</v>
      </c>
      <c r="J444" t="s">
        <v>211</v>
      </c>
      <c r="K444" t="s">
        <v>3390</v>
      </c>
      <c r="L444" t="s">
        <v>3391</v>
      </c>
      <c r="M444" t="s">
        <v>3392</v>
      </c>
      <c r="N444">
        <v>363.738</v>
      </c>
      <c r="O444" t="s">
        <v>3393</v>
      </c>
      <c r="P444" t="s">
        <v>18</v>
      </c>
    </row>
    <row r="445" spans="1:16" x14ac:dyDescent="0.35">
      <c r="A445">
        <v>6523114</v>
      </c>
      <c r="B445" t="s">
        <v>3394</v>
      </c>
      <c r="C445" t="str">
        <f>"9781538135174"</f>
        <v>9781538135174</v>
      </c>
      <c r="D445" t="str">
        <f>"9781538135181"</f>
        <v>9781538135181</v>
      </c>
      <c r="E445" t="s">
        <v>442</v>
      </c>
      <c r="F445" t="s">
        <v>442</v>
      </c>
      <c r="G445" s="1">
        <v>44267</v>
      </c>
      <c r="H445" s="1">
        <v>44276</v>
      </c>
      <c r="I445">
        <v>3</v>
      </c>
      <c r="J445" t="s">
        <v>3395</v>
      </c>
      <c r="K445" t="s">
        <v>3396</v>
      </c>
      <c r="L445" t="s">
        <v>308</v>
      </c>
      <c r="M445" t="s">
        <v>3397</v>
      </c>
      <c r="N445">
        <v>338.47910000000002</v>
      </c>
      <c r="O445" t="s">
        <v>3398</v>
      </c>
      <c r="P445" t="s">
        <v>18</v>
      </c>
    </row>
    <row r="446" spans="1:16" x14ac:dyDescent="0.35">
      <c r="A446">
        <v>6526645</v>
      </c>
      <c r="B446" t="s">
        <v>3399</v>
      </c>
      <c r="C446" t="str">
        <f>"9781800376847"</f>
        <v>9781800376847</v>
      </c>
      <c r="D446" t="str">
        <f>"9781800376854"</f>
        <v>9781800376854</v>
      </c>
      <c r="E446" t="s">
        <v>2080</v>
      </c>
      <c r="F446" t="s">
        <v>2080</v>
      </c>
      <c r="G446" s="1">
        <v>44267</v>
      </c>
      <c r="H446" s="1">
        <v>44281</v>
      </c>
      <c r="J446" t="s">
        <v>3400</v>
      </c>
      <c r="K446" t="s">
        <v>3401</v>
      </c>
      <c r="L446" t="s">
        <v>23</v>
      </c>
      <c r="M446" t="s">
        <v>3402</v>
      </c>
      <c r="N446">
        <v>344.24046320000002</v>
      </c>
      <c r="O446" t="s">
        <v>3403</v>
      </c>
      <c r="P446" t="s">
        <v>18</v>
      </c>
    </row>
    <row r="447" spans="1:16" x14ac:dyDescent="0.35">
      <c r="A447">
        <v>6476552</v>
      </c>
      <c r="B447" t="s">
        <v>3404</v>
      </c>
      <c r="C447" t="str">
        <f>"9781793614575"</f>
        <v>9781793614575</v>
      </c>
      <c r="D447" t="str">
        <f>"9781793614582"</f>
        <v>9781793614582</v>
      </c>
      <c r="E447" t="s">
        <v>446</v>
      </c>
      <c r="F447" t="s">
        <v>446</v>
      </c>
      <c r="G447" s="1">
        <v>44265</v>
      </c>
      <c r="H447" s="1">
        <v>44239</v>
      </c>
      <c r="J447" t="s">
        <v>211</v>
      </c>
      <c r="K447" t="s">
        <v>3405</v>
      </c>
      <c r="L447" t="s">
        <v>400</v>
      </c>
      <c r="M447" t="s">
        <v>3406</v>
      </c>
      <c r="N447">
        <v>979.54899999999998</v>
      </c>
      <c r="O447" t="s">
        <v>3407</v>
      </c>
      <c r="P447" t="s">
        <v>18</v>
      </c>
    </row>
    <row r="448" spans="1:16" x14ac:dyDescent="0.35">
      <c r="A448">
        <v>6513542</v>
      </c>
      <c r="B448" t="s">
        <v>3408</v>
      </c>
      <c r="C448" t="str">
        <f>""</f>
        <v/>
      </c>
      <c r="D448" t="str">
        <f>"9789354350450"</f>
        <v>9789354350450</v>
      </c>
      <c r="E448" t="s">
        <v>3409</v>
      </c>
      <c r="F448" t="s">
        <v>3409</v>
      </c>
      <c r="G448" s="1">
        <v>44265</v>
      </c>
      <c r="H448" s="1">
        <v>44267</v>
      </c>
      <c r="K448" t="s">
        <v>3410</v>
      </c>
      <c r="L448" t="s">
        <v>233</v>
      </c>
      <c r="M448" t="s">
        <v>3411</v>
      </c>
      <c r="N448">
        <v>362.19624140000002</v>
      </c>
      <c r="O448" t="s">
        <v>3412</v>
      </c>
      <c r="P448" t="s">
        <v>18</v>
      </c>
    </row>
    <row r="449" spans="1:16" x14ac:dyDescent="0.35">
      <c r="A449">
        <v>6519048</v>
      </c>
      <c r="B449" t="s">
        <v>3413</v>
      </c>
      <c r="C449" t="str">
        <f>"9781527565296"</f>
        <v>9781527565296</v>
      </c>
      <c r="D449" t="str">
        <f>"9781527565999"</f>
        <v>9781527565999</v>
      </c>
      <c r="E449" t="s">
        <v>1662</v>
      </c>
      <c r="F449" t="s">
        <v>1662</v>
      </c>
      <c r="G449" s="1">
        <v>44265</v>
      </c>
      <c r="H449" s="1">
        <v>44271</v>
      </c>
      <c r="K449" t="s">
        <v>3414</v>
      </c>
      <c r="L449" t="s">
        <v>38</v>
      </c>
      <c r="M449" t="s">
        <v>3415</v>
      </c>
      <c r="N449">
        <v>307.76</v>
      </c>
      <c r="O449" t="s">
        <v>3416</v>
      </c>
      <c r="P449" t="s">
        <v>18</v>
      </c>
    </row>
    <row r="450" spans="1:16" x14ac:dyDescent="0.35">
      <c r="A450">
        <v>6450230</v>
      </c>
      <c r="B450" t="s">
        <v>3417</v>
      </c>
      <c r="C450" t="str">
        <f>"9783035718041"</f>
        <v>9783035718041</v>
      </c>
      <c r="D450" t="str">
        <f>"9783035738049"</f>
        <v>9783035738049</v>
      </c>
      <c r="E450" t="s">
        <v>1649</v>
      </c>
      <c r="F450" t="s">
        <v>1649</v>
      </c>
      <c r="G450" s="1">
        <v>44264</v>
      </c>
      <c r="H450" s="1">
        <v>44201</v>
      </c>
      <c r="I450">
        <v>1</v>
      </c>
      <c r="J450" t="s">
        <v>1860</v>
      </c>
      <c r="K450" t="s">
        <v>3418</v>
      </c>
      <c r="L450" t="s">
        <v>41</v>
      </c>
      <c r="N450">
        <v>338.92700000000002</v>
      </c>
      <c r="P450" t="s">
        <v>18</v>
      </c>
    </row>
    <row r="451" spans="1:16" x14ac:dyDescent="0.35">
      <c r="A451">
        <v>6509774</v>
      </c>
      <c r="B451" t="s">
        <v>3419</v>
      </c>
      <c r="C451" t="str">
        <f>"9780128221082"</f>
        <v>9780128221082</v>
      </c>
      <c r="D451" t="str">
        <f>"9780128221235"</f>
        <v>9780128221235</v>
      </c>
      <c r="E451" t="s">
        <v>1699</v>
      </c>
      <c r="F451" t="s">
        <v>1699</v>
      </c>
      <c r="G451" s="1">
        <v>44263</v>
      </c>
      <c r="H451" s="1">
        <v>44262</v>
      </c>
      <c r="K451" t="s">
        <v>3420</v>
      </c>
      <c r="L451" t="s">
        <v>172</v>
      </c>
      <c r="M451" t="s">
        <v>3421</v>
      </c>
      <c r="N451">
        <v>572.33000000000004</v>
      </c>
      <c r="O451" t="s">
        <v>3422</v>
      </c>
      <c r="P451" t="s">
        <v>18</v>
      </c>
    </row>
    <row r="452" spans="1:16" x14ac:dyDescent="0.35">
      <c r="A452">
        <v>6509776</v>
      </c>
      <c r="B452" t="s">
        <v>3423</v>
      </c>
      <c r="C452" t="str">
        <f>"9780323899703"</f>
        <v>9780323899703</v>
      </c>
      <c r="D452" t="str">
        <f>"9780323898911"</f>
        <v>9780323898911</v>
      </c>
      <c r="E452" t="s">
        <v>1699</v>
      </c>
      <c r="F452" t="s">
        <v>1699</v>
      </c>
      <c r="G452" s="1">
        <v>44263</v>
      </c>
      <c r="H452" s="1">
        <v>44262</v>
      </c>
      <c r="K452" t="s">
        <v>3420</v>
      </c>
      <c r="L452" t="s">
        <v>76</v>
      </c>
      <c r="M452" t="s">
        <v>3424</v>
      </c>
      <c r="N452">
        <v>668.9</v>
      </c>
      <c r="O452" t="s">
        <v>3425</v>
      </c>
      <c r="P452" t="s">
        <v>18</v>
      </c>
    </row>
    <row r="453" spans="1:16" x14ac:dyDescent="0.35">
      <c r="A453">
        <v>6509920</v>
      </c>
      <c r="B453" t="s">
        <v>3426</v>
      </c>
      <c r="C453" t="str">
        <f>""</f>
        <v/>
      </c>
      <c r="D453" t="str">
        <f>"9783110669985"</f>
        <v>9783110669985</v>
      </c>
      <c r="E453" t="s">
        <v>404</v>
      </c>
      <c r="F453" t="s">
        <v>404</v>
      </c>
      <c r="G453" s="1">
        <v>44263</v>
      </c>
      <c r="H453" s="1">
        <v>44263</v>
      </c>
      <c r="J453" t="s">
        <v>1685</v>
      </c>
      <c r="K453" t="s">
        <v>3427</v>
      </c>
      <c r="L453" t="s">
        <v>118</v>
      </c>
      <c r="M453" t="s">
        <v>2964</v>
      </c>
      <c r="N453">
        <v>660.02859999999998</v>
      </c>
      <c r="O453" t="s">
        <v>2033</v>
      </c>
      <c r="P453" t="s">
        <v>18</v>
      </c>
    </row>
    <row r="454" spans="1:16" x14ac:dyDescent="0.35">
      <c r="A454">
        <v>6510024</v>
      </c>
      <c r="B454" t="s">
        <v>3428</v>
      </c>
      <c r="C454" t="str">
        <f>""</f>
        <v/>
      </c>
      <c r="D454" t="str">
        <f>"9783110717136"</f>
        <v>9783110717136</v>
      </c>
      <c r="E454" t="s">
        <v>404</v>
      </c>
      <c r="F454" t="s">
        <v>404</v>
      </c>
      <c r="G454" s="1">
        <v>44263</v>
      </c>
      <c r="H454" s="1">
        <v>44263</v>
      </c>
      <c r="J454" t="s">
        <v>2342</v>
      </c>
      <c r="K454" t="s">
        <v>3429</v>
      </c>
      <c r="L454" t="s">
        <v>118</v>
      </c>
      <c r="M454" t="s">
        <v>3430</v>
      </c>
      <c r="N454">
        <v>660.02859999999998</v>
      </c>
      <c r="O454" t="s">
        <v>3431</v>
      </c>
      <c r="P454" t="s">
        <v>18</v>
      </c>
    </row>
    <row r="455" spans="1:16" x14ac:dyDescent="0.35">
      <c r="A455">
        <v>6513422</v>
      </c>
      <c r="B455" t="s">
        <v>3432</v>
      </c>
      <c r="C455" t="str">
        <f>"9780309685986"</f>
        <v>9780309685986</v>
      </c>
      <c r="D455" t="str">
        <f>"9780309685993"</f>
        <v>9780309685993</v>
      </c>
      <c r="E455" t="s">
        <v>531</v>
      </c>
      <c r="F455" t="s">
        <v>531</v>
      </c>
      <c r="G455" s="1">
        <v>44260</v>
      </c>
      <c r="H455" s="1">
        <v>44267</v>
      </c>
      <c r="I455">
        <v>1</v>
      </c>
      <c r="K455" t="s">
        <v>3433</v>
      </c>
      <c r="L455" t="s">
        <v>168</v>
      </c>
      <c r="P455" t="s">
        <v>18</v>
      </c>
    </row>
    <row r="456" spans="1:16" x14ac:dyDescent="0.35">
      <c r="A456">
        <v>6504036</v>
      </c>
      <c r="B456" t="s">
        <v>3434</v>
      </c>
      <c r="C456" t="str">
        <f>"9780128238554"</f>
        <v>9780128238554</v>
      </c>
      <c r="D456" t="str">
        <f>"9780128241974"</f>
        <v>9780128241974</v>
      </c>
      <c r="E456" t="s">
        <v>1699</v>
      </c>
      <c r="F456" t="s">
        <v>1699</v>
      </c>
      <c r="G456" s="1">
        <v>44257</v>
      </c>
      <c r="H456" s="1">
        <v>44257</v>
      </c>
      <c r="K456" t="s">
        <v>3435</v>
      </c>
      <c r="L456" t="s">
        <v>92</v>
      </c>
      <c r="M456" t="s">
        <v>3436</v>
      </c>
      <c r="N456">
        <v>333.79</v>
      </c>
      <c r="O456" t="s">
        <v>3437</v>
      </c>
      <c r="P456" t="s">
        <v>18</v>
      </c>
    </row>
    <row r="457" spans="1:16" x14ac:dyDescent="0.35">
      <c r="A457">
        <v>6478022</v>
      </c>
      <c r="B457" t="s">
        <v>3438</v>
      </c>
      <c r="C457" t="str">
        <f>"9781786606617"</f>
        <v>9781786606617</v>
      </c>
      <c r="D457" t="str">
        <f>"9781786606624"</f>
        <v>9781786606624</v>
      </c>
      <c r="E457" t="s">
        <v>443</v>
      </c>
      <c r="F457" t="s">
        <v>443</v>
      </c>
      <c r="G457" s="1">
        <v>44256</v>
      </c>
      <c r="H457" s="1">
        <v>44240</v>
      </c>
      <c r="J457" t="s">
        <v>3439</v>
      </c>
      <c r="K457" t="s">
        <v>3440</v>
      </c>
      <c r="L457" t="s">
        <v>37</v>
      </c>
      <c r="M457" t="s">
        <v>3441</v>
      </c>
      <c r="N457">
        <v>261.83620000000002</v>
      </c>
      <c r="O457" t="s">
        <v>3442</v>
      </c>
      <c r="P457" t="s">
        <v>18</v>
      </c>
    </row>
    <row r="458" spans="1:16" x14ac:dyDescent="0.35">
      <c r="A458">
        <v>6499823</v>
      </c>
      <c r="B458" t="s">
        <v>3443</v>
      </c>
      <c r="C458" t="str">
        <f>"9780128202005"</f>
        <v>9780128202005</v>
      </c>
      <c r="D458" t="str">
        <f>"9780128203941"</f>
        <v>9780128203941</v>
      </c>
      <c r="E458" t="s">
        <v>1699</v>
      </c>
      <c r="F458" t="s">
        <v>1699</v>
      </c>
      <c r="G458" s="1">
        <v>44253</v>
      </c>
      <c r="H458" s="1">
        <v>44254</v>
      </c>
      <c r="K458" t="s">
        <v>3444</v>
      </c>
      <c r="L458" t="s">
        <v>3445</v>
      </c>
      <c r="M458" t="s">
        <v>3446</v>
      </c>
      <c r="N458">
        <v>333.91160000000002</v>
      </c>
      <c r="O458" t="s">
        <v>3447</v>
      </c>
      <c r="P458" t="s">
        <v>18</v>
      </c>
    </row>
    <row r="459" spans="1:16" x14ac:dyDescent="0.35">
      <c r="A459">
        <v>6499824</v>
      </c>
      <c r="B459" t="s">
        <v>3448</v>
      </c>
      <c r="C459" t="str">
        <f>"9780128190098"</f>
        <v>9780128190098</v>
      </c>
      <c r="D459" t="str">
        <f>"9780128190159"</f>
        <v>9780128190159</v>
      </c>
      <c r="E459" t="s">
        <v>1699</v>
      </c>
      <c r="F459" t="s">
        <v>1699</v>
      </c>
      <c r="G459" s="1">
        <v>44253</v>
      </c>
      <c r="H459" s="1">
        <v>44254</v>
      </c>
      <c r="J459" t="s">
        <v>1737</v>
      </c>
      <c r="K459" t="s">
        <v>3449</v>
      </c>
      <c r="L459" t="s">
        <v>76</v>
      </c>
      <c r="M459" t="s">
        <v>3450</v>
      </c>
      <c r="N459">
        <v>660.02859999999998</v>
      </c>
      <c r="O459" t="s">
        <v>2033</v>
      </c>
      <c r="P459" t="s">
        <v>18</v>
      </c>
    </row>
    <row r="460" spans="1:16" x14ac:dyDescent="0.35">
      <c r="A460">
        <v>6515944</v>
      </c>
      <c r="B460" t="s">
        <v>3451</v>
      </c>
      <c r="C460" t="str">
        <f>"9781799858799"</f>
        <v>9781799858799</v>
      </c>
      <c r="D460" t="str">
        <f>"9781799858812"</f>
        <v>9781799858812</v>
      </c>
      <c r="E460" t="s">
        <v>138</v>
      </c>
      <c r="F460" t="s">
        <v>1764</v>
      </c>
      <c r="G460" s="1">
        <v>44253</v>
      </c>
      <c r="H460" s="1">
        <v>44268</v>
      </c>
      <c r="K460" t="s">
        <v>3452</v>
      </c>
      <c r="L460" t="s">
        <v>462</v>
      </c>
      <c r="M460" t="s">
        <v>3453</v>
      </c>
      <c r="N460">
        <v>629.79999999999995</v>
      </c>
      <c r="O460" t="s">
        <v>3454</v>
      </c>
      <c r="P460" t="s">
        <v>18</v>
      </c>
    </row>
    <row r="461" spans="1:16" x14ac:dyDescent="0.35">
      <c r="A461">
        <v>6426159</v>
      </c>
      <c r="B461" t="s">
        <v>3455</v>
      </c>
      <c r="C461" t="str">
        <f>"9781350177642"</f>
        <v>9781350177642</v>
      </c>
      <c r="D461" t="str">
        <f>"9781350177666"</f>
        <v>9781350177666</v>
      </c>
      <c r="E461" t="s">
        <v>354</v>
      </c>
      <c r="F461" t="s">
        <v>355</v>
      </c>
      <c r="G461" s="1">
        <v>44252</v>
      </c>
      <c r="H461" s="1">
        <v>44182</v>
      </c>
      <c r="J461" t="s">
        <v>3456</v>
      </c>
      <c r="K461" t="s">
        <v>3457</v>
      </c>
      <c r="L461" t="s">
        <v>24</v>
      </c>
      <c r="M461" t="s">
        <v>3458</v>
      </c>
      <c r="N461">
        <v>809.38761999999997</v>
      </c>
      <c r="O461" t="s">
        <v>3459</v>
      </c>
      <c r="P461" t="s">
        <v>18</v>
      </c>
    </row>
    <row r="462" spans="1:16" x14ac:dyDescent="0.35">
      <c r="A462">
        <v>6460983</v>
      </c>
      <c r="B462" t="s">
        <v>3460</v>
      </c>
      <c r="C462" t="str">
        <f>"9781789662627"</f>
        <v>9781789662627</v>
      </c>
      <c r="D462" t="str">
        <f>"9781789662634"</f>
        <v>9781789662634</v>
      </c>
      <c r="E462" t="s">
        <v>215</v>
      </c>
      <c r="F462" t="s">
        <v>215</v>
      </c>
      <c r="G462" s="1">
        <v>44250</v>
      </c>
      <c r="H462" s="1">
        <v>44218</v>
      </c>
      <c r="I462">
        <v>1</v>
      </c>
      <c r="K462" t="s">
        <v>3461</v>
      </c>
      <c r="L462" t="s">
        <v>28</v>
      </c>
      <c r="M462" t="s">
        <v>3462</v>
      </c>
      <c r="N462">
        <v>658.7</v>
      </c>
      <c r="O462" t="s">
        <v>3463</v>
      </c>
      <c r="P462" t="s">
        <v>18</v>
      </c>
    </row>
    <row r="463" spans="1:16" x14ac:dyDescent="0.35">
      <c r="A463">
        <v>6537321</v>
      </c>
      <c r="B463" t="s">
        <v>3464</v>
      </c>
      <c r="C463" t="str">
        <f>"9789811228025"</f>
        <v>9789811228025</v>
      </c>
      <c r="D463" t="str">
        <f>"9789811228032"</f>
        <v>9789811228032</v>
      </c>
      <c r="E463" t="s">
        <v>184</v>
      </c>
      <c r="F463" t="s">
        <v>185</v>
      </c>
      <c r="G463" s="1">
        <v>44250</v>
      </c>
      <c r="H463" s="1">
        <v>44295</v>
      </c>
      <c r="K463" t="s">
        <v>3465</v>
      </c>
      <c r="L463" t="s">
        <v>3466</v>
      </c>
      <c r="M463" t="s">
        <v>3467</v>
      </c>
      <c r="N463" t="s">
        <v>128</v>
      </c>
      <c r="O463" t="s">
        <v>3468</v>
      </c>
      <c r="P463" t="s">
        <v>18</v>
      </c>
    </row>
    <row r="464" spans="1:16" x14ac:dyDescent="0.35">
      <c r="A464">
        <v>6455066</v>
      </c>
      <c r="B464" t="s">
        <v>3469</v>
      </c>
      <c r="C464" t="str">
        <f>"9781538133248"</f>
        <v>9781538133248</v>
      </c>
      <c r="D464" t="str">
        <f>"9781538133255"</f>
        <v>9781538133255</v>
      </c>
      <c r="E464" t="s">
        <v>442</v>
      </c>
      <c r="F464" t="s">
        <v>442</v>
      </c>
      <c r="G464" s="1">
        <v>44249</v>
      </c>
      <c r="H464" s="1">
        <v>44210</v>
      </c>
      <c r="K464" t="s">
        <v>3470</v>
      </c>
      <c r="L464" t="s">
        <v>38</v>
      </c>
      <c r="M464" t="s">
        <v>3471</v>
      </c>
      <c r="N464">
        <v>307.1216</v>
      </c>
      <c r="O464" t="s">
        <v>3472</v>
      </c>
      <c r="P464" t="s">
        <v>18</v>
      </c>
    </row>
    <row r="465" spans="1:16" x14ac:dyDescent="0.35">
      <c r="A465">
        <v>6810551</v>
      </c>
      <c r="B465" t="s">
        <v>3473</v>
      </c>
      <c r="C465" t="str">
        <f>"9782759821990"</f>
        <v>9782759821990</v>
      </c>
      <c r="D465" t="str">
        <f>"9782759824441"</f>
        <v>9782759824441</v>
      </c>
      <c r="E465" t="s">
        <v>378</v>
      </c>
      <c r="F465" t="s">
        <v>378</v>
      </c>
      <c r="G465" s="1">
        <v>44249</v>
      </c>
      <c r="H465" s="1">
        <v>44529</v>
      </c>
      <c r="J465" t="s">
        <v>3474</v>
      </c>
      <c r="K465" t="s">
        <v>3475</v>
      </c>
      <c r="L465" t="s">
        <v>3476</v>
      </c>
      <c r="P465" t="s">
        <v>18</v>
      </c>
    </row>
    <row r="466" spans="1:16" x14ac:dyDescent="0.35">
      <c r="A466">
        <v>6471578</v>
      </c>
      <c r="B466" t="s">
        <v>3477</v>
      </c>
      <c r="C466" t="str">
        <f>"9781799875123"</f>
        <v>9781799875123</v>
      </c>
      <c r="D466" t="str">
        <f>"9781799875192"</f>
        <v>9781799875192</v>
      </c>
      <c r="E466" t="s">
        <v>138</v>
      </c>
      <c r="F466" t="s">
        <v>1764</v>
      </c>
      <c r="G466" s="1">
        <v>44246</v>
      </c>
      <c r="H466" s="1">
        <v>44233</v>
      </c>
      <c r="K466" t="s">
        <v>3478</v>
      </c>
      <c r="L466" t="s">
        <v>3479</v>
      </c>
      <c r="M466" t="s">
        <v>3480</v>
      </c>
      <c r="N466">
        <v>33.707099999999997</v>
      </c>
      <c r="O466" t="s">
        <v>3481</v>
      </c>
      <c r="P466" t="s">
        <v>18</v>
      </c>
    </row>
    <row r="467" spans="1:16" x14ac:dyDescent="0.35">
      <c r="A467">
        <v>6475754</v>
      </c>
      <c r="B467" t="s">
        <v>3482</v>
      </c>
      <c r="C467" t="str">
        <f>"9781536191530"</f>
        <v>9781536191530</v>
      </c>
      <c r="D467" t="str">
        <f>"9781536192834"</f>
        <v>9781536192834</v>
      </c>
      <c r="E467" t="s">
        <v>1689</v>
      </c>
      <c r="F467" t="s">
        <v>1689</v>
      </c>
      <c r="G467" s="1">
        <v>44244</v>
      </c>
      <c r="H467" s="1">
        <v>44238</v>
      </c>
      <c r="I467">
        <v>1</v>
      </c>
      <c r="J467" t="s">
        <v>3038</v>
      </c>
      <c r="K467" t="s">
        <v>3483</v>
      </c>
      <c r="L467" t="s">
        <v>3484</v>
      </c>
      <c r="P467" t="s">
        <v>18</v>
      </c>
    </row>
    <row r="468" spans="1:16" x14ac:dyDescent="0.35">
      <c r="A468">
        <v>6478457</v>
      </c>
      <c r="B468" t="s">
        <v>3485</v>
      </c>
      <c r="C468" t="str">
        <f>"9780128243794"</f>
        <v>9780128243794</v>
      </c>
      <c r="D468" t="str">
        <f>"9780128243992"</f>
        <v>9780128243992</v>
      </c>
      <c r="E468" t="s">
        <v>190</v>
      </c>
      <c r="F468" t="s">
        <v>2139</v>
      </c>
      <c r="G468" s="1">
        <v>44244</v>
      </c>
      <c r="H468" s="1">
        <v>44241</v>
      </c>
      <c r="J468" t="s">
        <v>3486</v>
      </c>
      <c r="K468" t="s">
        <v>3487</v>
      </c>
      <c r="L468" t="s">
        <v>3488</v>
      </c>
      <c r="M468" t="s">
        <v>3489</v>
      </c>
      <c r="N468">
        <v>665.5</v>
      </c>
      <c r="O468" t="s">
        <v>3490</v>
      </c>
      <c r="P468" t="s">
        <v>18</v>
      </c>
    </row>
    <row r="469" spans="1:16" x14ac:dyDescent="0.35">
      <c r="A469">
        <v>6478464</v>
      </c>
      <c r="B469" t="s">
        <v>3491</v>
      </c>
      <c r="C469" t="str">
        <f>"9780128243800"</f>
        <v>9780128243800</v>
      </c>
      <c r="D469" t="str">
        <f>"9780128244005"</f>
        <v>9780128244005</v>
      </c>
      <c r="E469" t="s">
        <v>190</v>
      </c>
      <c r="F469" t="s">
        <v>2139</v>
      </c>
      <c r="G469" s="1">
        <v>44244</v>
      </c>
      <c r="H469" s="1">
        <v>44241</v>
      </c>
      <c r="J469" t="s">
        <v>3486</v>
      </c>
      <c r="K469" t="s">
        <v>3492</v>
      </c>
      <c r="L469" t="s">
        <v>3493</v>
      </c>
      <c r="M469" t="s">
        <v>3489</v>
      </c>
      <c r="N469">
        <v>665.5</v>
      </c>
      <c r="O469" t="s">
        <v>3494</v>
      </c>
      <c r="P469" t="s">
        <v>18</v>
      </c>
    </row>
    <row r="470" spans="1:16" x14ac:dyDescent="0.35">
      <c r="A470">
        <v>6481945</v>
      </c>
      <c r="B470" t="s">
        <v>3495</v>
      </c>
      <c r="C470" t="str">
        <f>"9781839108037"</f>
        <v>9781839108037</v>
      </c>
      <c r="D470" t="str">
        <f>"9781839108044"</f>
        <v>9781839108044</v>
      </c>
      <c r="E470" t="s">
        <v>2080</v>
      </c>
      <c r="F470" t="s">
        <v>2080</v>
      </c>
      <c r="G470" s="1">
        <v>44243</v>
      </c>
      <c r="H470" s="1">
        <v>44246</v>
      </c>
      <c r="J470" t="s">
        <v>3496</v>
      </c>
      <c r="K470" t="s">
        <v>3497</v>
      </c>
      <c r="L470" t="s">
        <v>28</v>
      </c>
      <c r="M470" t="s">
        <v>3498</v>
      </c>
      <c r="N470">
        <v>658.7</v>
      </c>
      <c r="O470" t="s">
        <v>3499</v>
      </c>
      <c r="P470" t="s">
        <v>18</v>
      </c>
    </row>
    <row r="471" spans="1:16" x14ac:dyDescent="0.35">
      <c r="A471">
        <v>6455070</v>
      </c>
      <c r="B471" t="s">
        <v>3500</v>
      </c>
      <c r="C471" t="str">
        <f>"9781538147146"</f>
        <v>9781538147146</v>
      </c>
      <c r="D471" t="str">
        <f>"9781538147139"</f>
        <v>9781538147139</v>
      </c>
      <c r="E471" t="s">
        <v>443</v>
      </c>
      <c r="F471" t="s">
        <v>443</v>
      </c>
      <c r="G471" s="1">
        <v>44242</v>
      </c>
      <c r="H471" s="1">
        <v>44210</v>
      </c>
      <c r="K471" t="s">
        <v>3501</v>
      </c>
      <c r="L471" t="s">
        <v>3502</v>
      </c>
      <c r="M471" t="s">
        <v>3503</v>
      </c>
      <c r="N471">
        <v>354.32823097300002</v>
      </c>
      <c r="O471" t="s">
        <v>3504</v>
      </c>
      <c r="P471" t="s">
        <v>18</v>
      </c>
    </row>
    <row r="472" spans="1:16" x14ac:dyDescent="0.35">
      <c r="A472">
        <v>6473941</v>
      </c>
      <c r="B472" t="s">
        <v>3505</v>
      </c>
      <c r="C472" t="str">
        <f>"9781839827259"</f>
        <v>9781839827259</v>
      </c>
      <c r="D472" t="str">
        <f>"9781839827242"</f>
        <v>9781839827242</v>
      </c>
      <c r="E472" t="s">
        <v>187</v>
      </c>
      <c r="F472" t="s">
        <v>187</v>
      </c>
      <c r="G472" s="1">
        <v>44242</v>
      </c>
      <c r="H472" s="1">
        <v>44236</v>
      </c>
      <c r="J472" t="s">
        <v>2696</v>
      </c>
      <c r="K472" t="s">
        <v>3506</v>
      </c>
      <c r="L472" t="s">
        <v>432</v>
      </c>
      <c r="M472" t="s">
        <v>3507</v>
      </c>
      <c r="N472">
        <v>610.6</v>
      </c>
      <c r="O472" t="s">
        <v>3508</v>
      </c>
      <c r="P472" t="s">
        <v>18</v>
      </c>
    </row>
    <row r="473" spans="1:16" x14ac:dyDescent="0.35">
      <c r="A473">
        <v>6478548</v>
      </c>
      <c r="B473" t="s">
        <v>3509</v>
      </c>
      <c r="C473" t="str">
        <f>"9781800436510"</f>
        <v>9781800436510</v>
      </c>
      <c r="D473" t="str">
        <f>"9781800717091"</f>
        <v>9781800717091</v>
      </c>
      <c r="E473" t="s">
        <v>187</v>
      </c>
      <c r="F473" t="s">
        <v>187</v>
      </c>
      <c r="G473" s="1">
        <v>44242</v>
      </c>
      <c r="H473" s="1">
        <v>44242</v>
      </c>
      <c r="J473" t="s">
        <v>2190</v>
      </c>
      <c r="K473" t="s">
        <v>3510</v>
      </c>
      <c r="L473" t="s">
        <v>3511</v>
      </c>
      <c r="M473" t="s">
        <v>3057</v>
      </c>
      <c r="N473">
        <v>215</v>
      </c>
      <c r="O473" t="s">
        <v>3512</v>
      </c>
      <c r="P473" t="s">
        <v>18</v>
      </c>
    </row>
    <row r="474" spans="1:16" x14ac:dyDescent="0.35">
      <c r="A474">
        <v>6481955</v>
      </c>
      <c r="B474" t="s">
        <v>3513</v>
      </c>
      <c r="C474" t="str">
        <f>"9781800880931"</f>
        <v>9781800880931</v>
      </c>
      <c r="D474" t="str">
        <f>"9781800880948"</f>
        <v>9781800880948</v>
      </c>
      <c r="E474" t="s">
        <v>2080</v>
      </c>
      <c r="F474" t="s">
        <v>2080</v>
      </c>
      <c r="G474" s="1">
        <v>44239</v>
      </c>
      <c r="H474" s="1">
        <v>44246</v>
      </c>
      <c r="K474" t="s">
        <v>3514</v>
      </c>
      <c r="L474" t="s">
        <v>41</v>
      </c>
      <c r="M474" t="s">
        <v>3515</v>
      </c>
      <c r="N474">
        <v>338.92700000000002</v>
      </c>
      <c r="O474" t="s">
        <v>3516</v>
      </c>
      <c r="P474" t="s">
        <v>18</v>
      </c>
    </row>
    <row r="475" spans="1:16" x14ac:dyDescent="0.35">
      <c r="A475">
        <v>6425567</v>
      </c>
      <c r="B475" t="s">
        <v>3517</v>
      </c>
      <c r="C475" t="str">
        <f>"9781350121638"</f>
        <v>9781350121638</v>
      </c>
      <c r="D475" t="str">
        <f>"9781350121652"</f>
        <v>9781350121652</v>
      </c>
      <c r="E475" t="s">
        <v>354</v>
      </c>
      <c r="F475" t="s">
        <v>355</v>
      </c>
      <c r="G475" s="1">
        <v>44238</v>
      </c>
      <c r="H475" s="1">
        <v>44181</v>
      </c>
      <c r="K475" t="s">
        <v>3518</v>
      </c>
      <c r="L475" t="s">
        <v>24</v>
      </c>
      <c r="M475" t="s">
        <v>3519</v>
      </c>
      <c r="N475">
        <v>809.93359999999996</v>
      </c>
      <c r="O475" t="s">
        <v>3520</v>
      </c>
      <c r="P475" t="s">
        <v>18</v>
      </c>
    </row>
    <row r="476" spans="1:16" x14ac:dyDescent="0.35">
      <c r="A476">
        <v>6455410</v>
      </c>
      <c r="B476" t="s">
        <v>3521</v>
      </c>
      <c r="C476" t="str">
        <f>"9781350159501"</f>
        <v>9781350159501</v>
      </c>
      <c r="D476" t="str">
        <f>"9781350176270"</f>
        <v>9781350176270</v>
      </c>
      <c r="E476" t="s">
        <v>354</v>
      </c>
      <c r="F476" t="s">
        <v>355</v>
      </c>
      <c r="G476" s="1">
        <v>44238</v>
      </c>
      <c r="H476" s="1">
        <v>44210</v>
      </c>
      <c r="J476" t="s">
        <v>3522</v>
      </c>
      <c r="K476" t="s">
        <v>3523</v>
      </c>
      <c r="L476" t="s">
        <v>257</v>
      </c>
      <c r="M476" t="s">
        <v>3524</v>
      </c>
      <c r="N476">
        <v>304.20100000000002</v>
      </c>
      <c r="O476" t="s">
        <v>3525</v>
      </c>
      <c r="P476" t="s">
        <v>18</v>
      </c>
    </row>
    <row r="477" spans="1:16" x14ac:dyDescent="0.35">
      <c r="A477">
        <v>6460661</v>
      </c>
      <c r="B477" t="s">
        <v>3526</v>
      </c>
      <c r="C477" t="str">
        <f>"9781793637819"</f>
        <v>9781793637819</v>
      </c>
      <c r="D477" t="str">
        <f>"9781793637826"</f>
        <v>9781793637826</v>
      </c>
      <c r="E477" t="s">
        <v>446</v>
      </c>
      <c r="F477" t="s">
        <v>446</v>
      </c>
      <c r="G477" s="1">
        <v>44238</v>
      </c>
      <c r="H477" s="1">
        <v>44218</v>
      </c>
      <c r="K477" t="s">
        <v>3527</v>
      </c>
      <c r="L477" t="s">
        <v>105</v>
      </c>
      <c r="M477" t="s">
        <v>3528</v>
      </c>
      <c r="N477">
        <v>363.7</v>
      </c>
      <c r="O477" t="s">
        <v>2376</v>
      </c>
      <c r="P477" t="s">
        <v>18</v>
      </c>
    </row>
    <row r="478" spans="1:16" x14ac:dyDescent="0.35">
      <c r="A478">
        <v>6527021</v>
      </c>
      <c r="B478" t="s">
        <v>3529</v>
      </c>
      <c r="C478" t="str">
        <f>"9781793641502"</f>
        <v>9781793641502</v>
      </c>
      <c r="D478" t="str">
        <f>"9781793641519"</f>
        <v>9781793641519</v>
      </c>
      <c r="E478" t="s">
        <v>446</v>
      </c>
      <c r="F478" t="s">
        <v>446</v>
      </c>
      <c r="G478" s="1">
        <v>44238</v>
      </c>
      <c r="H478" s="1">
        <v>44282</v>
      </c>
      <c r="J478" t="s">
        <v>211</v>
      </c>
      <c r="K478" t="s">
        <v>3530</v>
      </c>
      <c r="L478" t="s">
        <v>1934</v>
      </c>
      <c r="M478" t="s">
        <v>3531</v>
      </c>
      <c r="N478" t="s">
        <v>3532</v>
      </c>
      <c r="O478" t="s">
        <v>3533</v>
      </c>
      <c r="P478" t="s">
        <v>18</v>
      </c>
    </row>
    <row r="479" spans="1:16" x14ac:dyDescent="0.35">
      <c r="A479">
        <v>6398013</v>
      </c>
      <c r="B479" t="s">
        <v>3534</v>
      </c>
      <c r="C479" t="str">
        <f>"9781475856187"</f>
        <v>9781475856187</v>
      </c>
      <c r="D479" t="str">
        <f>"9781475856194"</f>
        <v>9781475856194</v>
      </c>
      <c r="E479" t="s">
        <v>443</v>
      </c>
      <c r="F479" t="s">
        <v>443</v>
      </c>
      <c r="G479" s="1">
        <v>44237</v>
      </c>
      <c r="H479" s="1">
        <v>44153</v>
      </c>
      <c r="K479" t="s">
        <v>3535</v>
      </c>
      <c r="L479" t="s">
        <v>30</v>
      </c>
      <c r="M479" t="s">
        <v>3536</v>
      </c>
      <c r="N479">
        <v>370.97300000000001</v>
      </c>
      <c r="O479" t="s">
        <v>3537</v>
      </c>
      <c r="P479" t="s">
        <v>18</v>
      </c>
    </row>
    <row r="480" spans="1:16" x14ac:dyDescent="0.35">
      <c r="A480">
        <v>6449013</v>
      </c>
      <c r="B480" t="s">
        <v>3538</v>
      </c>
      <c r="C480" t="str">
        <f>"9781536189629"</f>
        <v>9781536189629</v>
      </c>
      <c r="D480" t="str">
        <f>"9781536190892"</f>
        <v>9781536190892</v>
      </c>
      <c r="E480" t="s">
        <v>1689</v>
      </c>
      <c r="F480" t="s">
        <v>1689</v>
      </c>
      <c r="G480" s="1">
        <v>44237</v>
      </c>
      <c r="H480" s="1">
        <v>44197</v>
      </c>
      <c r="I480">
        <v>1</v>
      </c>
      <c r="J480" t="s">
        <v>3145</v>
      </c>
      <c r="K480" t="s">
        <v>3539</v>
      </c>
      <c r="L480" t="s">
        <v>180</v>
      </c>
      <c r="M480" t="s">
        <v>3540</v>
      </c>
      <c r="N480">
        <v>333.7095496</v>
      </c>
      <c r="O480" t="s">
        <v>3541</v>
      </c>
      <c r="P480" t="s">
        <v>18</v>
      </c>
    </row>
    <row r="481" spans="1:16" x14ac:dyDescent="0.35">
      <c r="A481">
        <v>6461721</v>
      </c>
      <c r="B481" t="s">
        <v>3542</v>
      </c>
      <c r="C481" t="str">
        <f>"9781536191394"</f>
        <v>9781536191394</v>
      </c>
      <c r="D481" t="str">
        <f>"9781536191929"</f>
        <v>9781536191929</v>
      </c>
      <c r="E481" t="s">
        <v>1689</v>
      </c>
      <c r="F481" t="s">
        <v>1689</v>
      </c>
      <c r="G481" s="1">
        <v>44237</v>
      </c>
      <c r="H481" s="1">
        <v>44219</v>
      </c>
      <c r="I481">
        <v>1</v>
      </c>
      <c r="J481" t="s">
        <v>1690</v>
      </c>
      <c r="K481" t="s">
        <v>3543</v>
      </c>
      <c r="L481" t="s">
        <v>42</v>
      </c>
      <c r="N481">
        <v>333.33519999999999</v>
      </c>
      <c r="P481" t="s">
        <v>18</v>
      </c>
    </row>
    <row r="482" spans="1:16" x14ac:dyDescent="0.35">
      <c r="A482">
        <v>6466088</v>
      </c>
      <c r="B482" t="s">
        <v>3544</v>
      </c>
      <c r="C482" t="str">
        <f>"9780128241073"</f>
        <v>9780128241073</v>
      </c>
      <c r="D482" t="str">
        <f>"9780128241080"</f>
        <v>9780128241080</v>
      </c>
      <c r="E482" t="s">
        <v>190</v>
      </c>
      <c r="F482" t="s">
        <v>191</v>
      </c>
      <c r="G482" s="1">
        <v>44237</v>
      </c>
      <c r="H482" s="1">
        <v>44228</v>
      </c>
      <c r="J482" t="s">
        <v>3064</v>
      </c>
      <c r="K482" t="s">
        <v>3545</v>
      </c>
      <c r="L482" t="s">
        <v>3546</v>
      </c>
      <c r="M482" t="s">
        <v>3547</v>
      </c>
      <c r="N482">
        <v>333.79239999999999</v>
      </c>
      <c r="O482" t="s">
        <v>3067</v>
      </c>
      <c r="P482" t="s">
        <v>18</v>
      </c>
    </row>
    <row r="483" spans="1:16" x14ac:dyDescent="0.35">
      <c r="A483">
        <v>6469085</v>
      </c>
      <c r="B483" t="s">
        <v>3548</v>
      </c>
      <c r="C483" t="str">
        <f>"9781536190557"</f>
        <v>9781536190557</v>
      </c>
      <c r="D483" t="str">
        <f>"9781536191998"</f>
        <v>9781536191998</v>
      </c>
      <c r="E483" t="s">
        <v>1689</v>
      </c>
      <c r="F483" t="s">
        <v>1689</v>
      </c>
      <c r="G483" s="1">
        <v>44237</v>
      </c>
      <c r="H483" s="1">
        <v>44232</v>
      </c>
      <c r="I483">
        <v>1</v>
      </c>
      <c r="J483" t="s">
        <v>1690</v>
      </c>
      <c r="K483" t="s">
        <v>3549</v>
      </c>
      <c r="L483" t="s">
        <v>168</v>
      </c>
      <c r="N483">
        <v>631.42200000000003</v>
      </c>
      <c r="P483" t="s">
        <v>18</v>
      </c>
    </row>
    <row r="484" spans="1:16" x14ac:dyDescent="0.35">
      <c r="A484">
        <v>6469101</v>
      </c>
      <c r="B484" t="s">
        <v>3550</v>
      </c>
      <c r="C484" t="str">
        <f>"9781536191318"</f>
        <v>9781536191318</v>
      </c>
      <c r="D484" t="str">
        <f>"9781536192001"</f>
        <v>9781536192001</v>
      </c>
      <c r="E484" t="s">
        <v>1689</v>
      </c>
      <c r="F484" t="s">
        <v>1689</v>
      </c>
      <c r="G484" s="1">
        <v>44237</v>
      </c>
      <c r="H484" s="1">
        <v>44232</v>
      </c>
      <c r="I484">
        <v>1</v>
      </c>
      <c r="J484" t="s">
        <v>3551</v>
      </c>
      <c r="K484" t="s">
        <v>3552</v>
      </c>
      <c r="L484" t="s">
        <v>141</v>
      </c>
      <c r="M484" t="s">
        <v>3553</v>
      </c>
      <c r="N484">
        <v>621.31209999999999</v>
      </c>
      <c r="O484" t="s">
        <v>3554</v>
      </c>
      <c r="P484" t="s">
        <v>18</v>
      </c>
    </row>
    <row r="485" spans="1:16" x14ac:dyDescent="0.35">
      <c r="A485">
        <v>6512566</v>
      </c>
      <c r="B485" t="s">
        <v>3555</v>
      </c>
      <c r="C485" t="str">
        <f>""</f>
        <v/>
      </c>
      <c r="D485" t="str">
        <f>"9789354350559"</f>
        <v>9789354350559</v>
      </c>
      <c r="E485" t="s">
        <v>3409</v>
      </c>
      <c r="F485" t="s">
        <v>3409</v>
      </c>
      <c r="G485" s="1">
        <v>44237</v>
      </c>
      <c r="H485" s="1">
        <v>44266</v>
      </c>
      <c r="K485" t="s">
        <v>3556</v>
      </c>
      <c r="L485" t="s">
        <v>26</v>
      </c>
      <c r="M485" t="s">
        <v>3557</v>
      </c>
      <c r="N485">
        <v>338.92700000000002</v>
      </c>
      <c r="O485" t="s">
        <v>503</v>
      </c>
      <c r="P485" t="s">
        <v>18</v>
      </c>
    </row>
    <row r="486" spans="1:16" x14ac:dyDescent="0.35">
      <c r="A486">
        <v>6478350</v>
      </c>
      <c r="B486" t="s">
        <v>3558</v>
      </c>
      <c r="C486" t="str">
        <f>"9781527563940"</f>
        <v>9781527563940</v>
      </c>
      <c r="D486" t="str">
        <f>"9781527565746"</f>
        <v>9781527565746</v>
      </c>
      <c r="E486" t="s">
        <v>1662</v>
      </c>
      <c r="F486" t="s">
        <v>1662</v>
      </c>
      <c r="G486" s="1">
        <v>44236</v>
      </c>
      <c r="H486" s="1">
        <v>44240</v>
      </c>
      <c r="K486" t="s">
        <v>3559</v>
      </c>
      <c r="L486" t="s">
        <v>38</v>
      </c>
      <c r="M486" t="s">
        <v>3560</v>
      </c>
      <c r="N486">
        <v>302.35000000000002</v>
      </c>
      <c r="O486" t="s">
        <v>3561</v>
      </c>
      <c r="P486" t="s">
        <v>18</v>
      </c>
    </row>
    <row r="487" spans="1:16" x14ac:dyDescent="0.35">
      <c r="A487">
        <v>6455225</v>
      </c>
      <c r="B487" t="s">
        <v>3562</v>
      </c>
      <c r="C487" t="str">
        <f>"9781793634566"</f>
        <v>9781793634566</v>
      </c>
      <c r="D487" t="str">
        <f>"9781793634573"</f>
        <v>9781793634573</v>
      </c>
      <c r="E487" t="s">
        <v>445</v>
      </c>
      <c r="F487" t="s">
        <v>445</v>
      </c>
      <c r="G487" s="1">
        <v>44235</v>
      </c>
      <c r="H487" s="1">
        <v>44210</v>
      </c>
      <c r="J487" t="s">
        <v>3563</v>
      </c>
      <c r="K487" t="s">
        <v>3564</v>
      </c>
      <c r="L487" t="s">
        <v>105</v>
      </c>
      <c r="M487" t="s">
        <v>3565</v>
      </c>
      <c r="N487">
        <v>363.7</v>
      </c>
      <c r="O487" t="s">
        <v>3566</v>
      </c>
      <c r="P487" t="s">
        <v>18</v>
      </c>
    </row>
    <row r="488" spans="1:16" x14ac:dyDescent="0.35">
      <c r="A488">
        <v>6466080</v>
      </c>
      <c r="B488" t="s">
        <v>3567</v>
      </c>
      <c r="C488" t="str">
        <f>"9781839091285"</f>
        <v>9781839091285</v>
      </c>
      <c r="D488" t="str">
        <f>"9781839091278"</f>
        <v>9781839091278</v>
      </c>
      <c r="E488" t="s">
        <v>187</v>
      </c>
      <c r="F488" t="s">
        <v>187</v>
      </c>
      <c r="G488" s="1">
        <v>44235</v>
      </c>
      <c r="H488" s="1">
        <v>44228</v>
      </c>
      <c r="J488" t="s">
        <v>1693</v>
      </c>
      <c r="K488" t="s">
        <v>3568</v>
      </c>
      <c r="L488" t="s">
        <v>53</v>
      </c>
      <c r="M488" t="s">
        <v>3569</v>
      </c>
      <c r="N488">
        <v>363.73099999999999</v>
      </c>
      <c r="O488" t="s">
        <v>3570</v>
      </c>
      <c r="P488" t="s">
        <v>18</v>
      </c>
    </row>
    <row r="489" spans="1:16" x14ac:dyDescent="0.35">
      <c r="A489">
        <v>6466083</v>
      </c>
      <c r="B489" t="s">
        <v>3571</v>
      </c>
      <c r="C489" t="str">
        <f>"9781839826313"</f>
        <v>9781839826313</v>
      </c>
      <c r="D489" t="str">
        <f>"9781839826306"</f>
        <v>9781839826306</v>
      </c>
      <c r="E489" t="s">
        <v>187</v>
      </c>
      <c r="F489" t="s">
        <v>187</v>
      </c>
      <c r="G489" s="1">
        <v>44235</v>
      </c>
      <c r="H489" s="1">
        <v>44228</v>
      </c>
      <c r="J489" t="s">
        <v>1678</v>
      </c>
      <c r="K489" t="s">
        <v>3572</v>
      </c>
      <c r="L489" t="s">
        <v>38</v>
      </c>
      <c r="M489" t="s">
        <v>3573</v>
      </c>
      <c r="N489">
        <v>307.76094699999999</v>
      </c>
      <c r="O489" t="s">
        <v>3574</v>
      </c>
      <c r="P489" t="s">
        <v>18</v>
      </c>
    </row>
    <row r="490" spans="1:16" x14ac:dyDescent="0.35">
      <c r="A490">
        <v>6507595</v>
      </c>
      <c r="B490" t="s">
        <v>3575</v>
      </c>
      <c r="C490" t="str">
        <f>"9781786349095"</f>
        <v>9781786349095</v>
      </c>
      <c r="D490" t="str">
        <f>"9781786349101"</f>
        <v>9781786349101</v>
      </c>
      <c r="E490" t="s">
        <v>184</v>
      </c>
      <c r="F490" t="s">
        <v>2401</v>
      </c>
      <c r="G490" s="1">
        <v>44235</v>
      </c>
      <c r="H490" s="1">
        <v>44259</v>
      </c>
      <c r="K490" t="s">
        <v>2738</v>
      </c>
      <c r="L490" t="s">
        <v>41</v>
      </c>
      <c r="M490" t="s">
        <v>3576</v>
      </c>
      <c r="N490">
        <v>330.90011199999998</v>
      </c>
      <c r="O490" t="s">
        <v>503</v>
      </c>
      <c r="P490" t="s">
        <v>18</v>
      </c>
    </row>
    <row r="491" spans="1:16" x14ac:dyDescent="0.35">
      <c r="A491">
        <v>6455218</v>
      </c>
      <c r="B491" t="s">
        <v>3577</v>
      </c>
      <c r="C491" t="str">
        <f>"9781793633873"</f>
        <v>9781793633873</v>
      </c>
      <c r="D491" t="str">
        <f>"9781793633880"</f>
        <v>9781793633880</v>
      </c>
      <c r="E491" t="s">
        <v>446</v>
      </c>
      <c r="F491" t="s">
        <v>446</v>
      </c>
      <c r="G491" s="1">
        <v>44230</v>
      </c>
      <c r="H491" s="1">
        <v>44210</v>
      </c>
      <c r="K491" t="s">
        <v>3578</v>
      </c>
      <c r="L491" t="s">
        <v>23</v>
      </c>
      <c r="M491" t="s">
        <v>3579</v>
      </c>
      <c r="N491">
        <v>341.76209399999999</v>
      </c>
      <c r="O491" t="s">
        <v>3580</v>
      </c>
      <c r="P491" t="s">
        <v>18</v>
      </c>
    </row>
    <row r="492" spans="1:16" x14ac:dyDescent="0.35">
      <c r="A492">
        <v>6480588</v>
      </c>
      <c r="B492" t="s">
        <v>3581</v>
      </c>
      <c r="C492" t="str">
        <f>"9789811233470"</f>
        <v>9789811233470</v>
      </c>
      <c r="D492" t="str">
        <f>"9789811233487"</f>
        <v>9789811233487</v>
      </c>
      <c r="E492" t="s">
        <v>184</v>
      </c>
      <c r="F492" t="s">
        <v>185</v>
      </c>
      <c r="G492" s="1">
        <v>44229</v>
      </c>
      <c r="H492" s="1">
        <v>44245</v>
      </c>
      <c r="K492" t="s">
        <v>3582</v>
      </c>
      <c r="L492" t="s">
        <v>361</v>
      </c>
      <c r="M492" t="s">
        <v>3583</v>
      </c>
      <c r="N492">
        <v>551.6</v>
      </c>
      <c r="O492" t="s">
        <v>3584</v>
      </c>
      <c r="P492" t="s">
        <v>18</v>
      </c>
    </row>
    <row r="493" spans="1:16" x14ac:dyDescent="0.35">
      <c r="A493">
        <v>6475170</v>
      </c>
      <c r="B493" t="s">
        <v>3585</v>
      </c>
      <c r="C493" t="str">
        <f>"9781440875274"</f>
        <v>9781440875274</v>
      </c>
      <c r="D493" t="str">
        <f>"9781440875281"</f>
        <v>9781440875281</v>
      </c>
      <c r="E493" t="s">
        <v>440</v>
      </c>
      <c r="F493" t="s">
        <v>314</v>
      </c>
      <c r="G493" s="1">
        <v>44228</v>
      </c>
      <c r="H493" s="1">
        <v>44237</v>
      </c>
      <c r="K493" t="s">
        <v>3586</v>
      </c>
      <c r="L493" t="s">
        <v>234</v>
      </c>
      <c r="M493" t="s">
        <v>3587</v>
      </c>
      <c r="N493">
        <v>25.197800000000001</v>
      </c>
      <c r="O493" t="s">
        <v>3588</v>
      </c>
      <c r="P493" t="s">
        <v>18</v>
      </c>
    </row>
    <row r="494" spans="1:16" x14ac:dyDescent="0.35">
      <c r="A494">
        <v>6483785</v>
      </c>
      <c r="B494" t="s">
        <v>3589</v>
      </c>
      <c r="C494" t="str">
        <f>"9781527563100"</f>
        <v>9781527563100</v>
      </c>
      <c r="D494" t="str">
        <f>"9781527566255"</f>
        <v>9781527566255</v>
      </c>
      <c r="E494" t="s">
        <v>1662</v>
      </c>
      <c r="F494" t="s">
        <v>1662</v>
      </c>
      <c r="G494" s="1">
        <v>44228</v>
      </c>
      <c r="H494" s="1">
        <v>44247</v>
      </c>
      <c r="K494" t="s">
        <v>3590</v>
      </c>
      <c r="L494" t="s">
        <v>26</v>
      </c>
      <c r="M494" t="s">
        <v>3591</v>
      </c>
      <c r="N494">
        <v>338.92700000000002</v>
      </c>
      <c r="O494" t="s">
        <v>3592</v>
      </c>
      <c r="P494" t="s">
        <v>18</v>
      </c>
    </row>
    <row r="495" spans="1:16" x14ac:dyDescent="0.35">
      <c r="A495">
        <v>6450241</v>
      </c>
      <c r="B495" t="s">
        <v>3593</v>
      </c>
      <c r="C495" t="str">
        <f>"9780309498531"</f>
        <v>9780309498531</v>
      </c>
      <c r="D495" t="str">
        <f>"9780309498548"</f>
        <v>9780309498548</v>
      </c>
      <c r="E495" t="s">
        <v>531</v>
      </c>
      <c r="F495" t="s">
        <v>531</v>
      </c>
      <c r="G495" s="1">
        <v>44225</v>
      </c>
      <c r="H495" s="1">
        <v>44201</v>
      </c>
      <c r="I495">
        <v>1</v>
      </c>
      <c r="K495" t="s">
        <v>3594</v>
      </c>
      <c r="L495" t="s">
        <v>172</v>
      </c>
      <c r="N495">
        <v>570.75199999999995</v>
      </c>
      <c r="P495" t="s">
        <v>18</v>
      </c>
    </row>
    <row r="496" spans="1:16" x14ac:dyDescent="0.35">
      <c r="A496">
        <v>6468457</v>
      </c>
      <c r="B496" t="s">
        <v>3595</v>
      </c>
      <c r="C496" t="str">
        <f>"9780128221341"</f>
        <v>9780128221341</v>
      </c>
      <c r="D496" t="str">
        <f>"9780128221693"</f>
        <v>9780128221693</v>
      </c>
      <c r="E496" t="s">
        <v>1699</v>
      </c>
      <c r="F496" t="s">
        <v>1699</v>
      </c>
      <c r="G496" s="1">
        <v>44225</v>
      </c>
      <c r="H496" s="1">
        <v>44231</v>
      </c>
      <c r="K496" t="s">
        <v>3596</v>
      </c>
      <c r="L496" t="s">
        <v>113</v>
      </c>
      <c r="M496" t="s">
        <v>3597</v>
      </c>
      <c r="N496">
        <v>628</v>
      </c>
      <c r="O496" t="s">
        <v>3598</v>
      </c>
      <c r="P496" t="s">
        <v>18</v>
      </c>
    </row>
    <row r="497" spans="1:16" x14ac:dyDescent="0.35">
      <c r="A497">
        <v>6471568</v>
      </c>
      <c r="B497" t="s">
        <v>3599</v>
      </c>
      <c r="C497" t="str">
        <f>"9781799873914"</f>
        <v>9781799873914</v>
      </c>
      <c r="D497" t="str">
        <f>"9781799873945"</f>
        <v>9781799873945</v>
      </c>
      <c r="E497" t="s">
        <v>138</v>
      </c>
      <c r="F497" t="s">
        <v>1764</v>
      </c>
      <c r="G497" s="1">
        <v>44225</v>
      </c>
      <c r="H497" s="1">
        <v>44233</v>
      </c>
      <c r="K497" t="s">
        <v>3600</v>
      </c>
      <c r="L497" t="s">
        <v>92</v>
      </c>
      <c r="M497" t="s">
        <v>3601</v>
      </c>
      <c r="N497" t="s">
        <v>3602</v>
      </c>
      <c r="O497" t="s">
        <v>3603</v>
      </c>
      <c r="P497" t="s">
        <v>18</v>
      </c>
    </row>
    <row r="498" spans="1:16" x14ac:dyDescent="0.35">
      <c r="A498">
        <v>6462887</v>
      </c>
      <c r="B498" t="s">
        <v>3604</v>
      </c>
      <c r="C498" t="str">
        <f>"9780323854023"</f>
        <v>9780323854023</v>
      </c>
      <c r="D498" t="str">
        <f>"9780323858007"</f>
        <v>9780323858007</v>
      </c>
      <c r="E498" t="s">
        <v>190</v>
      </c>
      <c r="F498" t="s">
        <v>191</v>
      </c>
      <c r="G498" s="1">
        <v>44224</v>
      </c>
      <c r="H498" s="1">
        <v>44222</v>
      </c>
      <c r="K498" t="s">
        <v>3605</v>
      </c>
      <c r="L498" t="s">
        <v>104</v>
      </c>
      <c r="M498" t="s">
        <v>3606</v>
      </c>
      <c r="N498">
        <v>628.74</v>
      </c>
      <c r="O498" t="s">
        <v>3607</v>
      </c>
      <c r="P498" t="s">
        <v>18</v>
      </c>
    </row>
    <row r="499" spans="1:16" x14ac:dyDescent="0.35">
      <c r="A499">
        <v>6476822</v>
      </c>
      <c r="B499" t="s">
        <v>3608</v>
      </c>
      <c r="C499" t="str">
        <f>"9789004447868"</f>
        <v>9789004447868</v>
      </c>
      <c r="D499" t="str">
        <f>"9789004447875"</f>
        <v>9789004447875</v>
      </c>
      <c r="E499" t="s">
        <v>228</v>
      </c>
      <c r="F499" t="s">
        <v>228</v>
      </c>
      <c r="G499" s="1">
        <v>44224</v>
      </c>
      <c r="H499" s="1">
        <v>44239</v>
      </c>
      <c r="I499">
        <v>1</v>
      </c>
      <c r="J499" t="s">
        <v>3609</v>
      </c>
      <c r="K499" t="s">
        <v>3610</v>
      </c>
      <c r="L499" t="s">
        <v>23</v>
      </c>
      <c r="M499" t="s">
        <v>3611</v>
      </c>
      <c r="N499" t="s">
        <v>3612</v>
      </c>
      <c r="O499" t="s">
        <v>3613</v>
      </c>
      <c r="P499" t="s">
        <v>18</v>
      </c>
    </row>
    <row r="500" spans="1:16" x14ac:dyDescent="0.35">
      <c r="A500">
        <v>6476873</v>
      </c>
      <c r="B500" t="s">
        <v>3614</v>
      </c>
      <c r="C500" t="str">
        <f>"9789004444454"</f>
        <v>9789004444454</v>
      </c>
      <c r="D500" t="str">
        <f>"9789004444973"</f>
        <v>9789004444973</v>
      </c>
      <c r="E500" t="s">
        <v>228</v>
      </c>
      <c r="F500" t="s">
        <v>228</v>
      </c>
      <c r="G500" s="1">
        <v>44224</v>
      </c>
      <c r="H500" s="1">
        <v>44239</v>
      </c>
      <c r="I500">
        <v>1</v>
      </c>
      <c r="J500" t="s">
        <v>3615</v>
      </c>
      <c r="K500" t="s">
        <v>3616</v>
      </c>
      <c r="L500" t="s">
        <v>210</v>
      </c>
      <c r="M500" t="s">
        <v>3617</v>
      </c>
      <c r="N500">
        <v>304.20956000000001</v>
      </c>
      <c r="O500" t="s">
        <v>3618</v>
      </c>
      <c r="P500" t="s">
        <v>18</v>
      </c>
    </row>
    <row r="501" spans="1:16" x14ac:dyDescent="0.35">
      <c r="A501">
        <v>6431992</v>
      </c>
      <c r="B501" t="s">
        <v>3619</v>
      </c>
      <c r="C501" t="str">
        <f>"9781982142230"</f>
        <v>9781982142230</v>
      </c>
      <c r="D501" t="str">
        <f>"9781982142247"</f>
        <v>9781982142247</v>
      </c>
      <c r="E501" t="s">
        <v>2705</v>
      </c>
      <c r="F501" t="s">
        <v>2706</v>
      </c>
      <c r="G501" s="1">
        <v>44222</v>
      </c>
      <c r="H501" s="1">
        <v>44187</v>
      </c>
      <c r="K501" t="s">
        <v>3620</v>
      </c>
      <c r="L501" t="s">
        <v>2458</v>
      </c>
      <c r="M501" t="s">
        <v>3621</v>
      </c>
      <c r="N501">
        <v>640.28599999999994</v>
      </c>
      <c r="O501" t="s">
        <v>3622</v>
      </c>
      <c r="P501" t="s">
        <v>18</v>
      </c>
    </row>
    <row r="502" spans="1:16" x14ac:dyDescent="0.35">
      <c r="A502">
        <v>6451976</v>
      </c>
      <c r="B502" t="s">
        <v>3623</v>
      </c>
      <c r="C502" t="str">
        <f>"9781982134518"</f>
        <v>9781982134518</v>
      </c>
      <c r="D502" t="str">
        <f>"9781982134587"</f>
        <v>9781982134587</v>
      </c>
      <c r="E502" t="s">
        <v>2705</v>
      </c>
      <c r="F502" t="s">
        <v>2705</v>
      </c>
      <c r="G502" s="1">
        <v>44222</v>
      </c>
      <c r="H502" s="1">
        <v>44204</v>
      </c>
      <c r="K502" t="s">
        <v>3624</v>
      </c>
      <c r="L502" t="s">
        <v>3625</v>
      </c>
      <c r="M502" t="s">
        <v>3626</v>
      </c>
      <c r="N502" t="s">
        <v>3627</v>
      </c>
      <c r="O502" t="s">
        <v>3628</v>
      </c>
      <c r="P502" t="s">
        <v>18</v>
      </c>
    </row>
    <row r="503" spans="1:16" x14ac:dyDescent="0.35">
      <c r="A503">
        <v>6461864</v>
      </c>
      <c r="B503" t="s">
        <v>3629</v>
      </c>
      <c r="C503" t="str">
        <f>"9780128216057"</f>
        <v>9780128216057</v>
      </c>
      <c r="D503" t="str">
        <f>"9780323851398"</f>
        <v>9780323851398</v>
      </c>
      <c r="E503" t="s">
        <v>1699</v>
      </c>
      <c r="F503" t="s">
        <v>1699</v>
      </c>
      <c r="G503" s="1">
        <v>44222</v>
      </c>
      <c r="H503" s="1">
        <v>44219</v>
      </c>
      <c r="I503">
        <v>2</v>
      </c>
      <c r="K503" t="s">
        <v>3630</v>
      </c>
      <c r="L503" t="s">
        <v>3631</v>
      </c>
      <c r="M503" t="s">
        <v>3632</v>
      </c>
      <c r="N503">
        <v>333.794091724</v>
      </c>
      <c r="O503" t="s">
        <v>3633</v>
      </c>
      <c r="P503" t="s">
        <v>18</v>
      </c>
    </row>
    <row r="504" spans="1:16" x14ac:dyDescent="0.35">
      <c r="A504">
        <v>6452789</v>
      </c>
      <c r="B504" t="s">
        <v>3634</v>
      </c>
      <c r="C504" t="str">
        <f>"9781800438279"</f>
        <v>9781800438279</v>
      </c>
      <c r="D504" t="str">
        <f>"9781800438248"</f>
        <v>9781800438248</v>
      </c>
      <c r="E504" t="s">
        <v>187</v>
      </c>
      <c r="F504" t="s">
        <v>187</v>
      </c>
      <c r="G504" s="1">
        <v>44218</v>
      </c>
      <c r="H504" s="1">
        <v>44207</v>
      </c>
      <c r="K504" t="s">
        <v>3635</v>
      </c>
      <c r="L504" t="s">
        <v>199</v>
      </c>
      <c r="M504" t="s">
        <v>3636</v>
      </c>
      <c r="N504">
        <v>333.7</v>
      </c>
      <c r="O504" t="s">
        <v>3637</v>
      </c>
      <c r="P504" t="s">
        <v>18</v>
      </c>
    </row>
    <row r="505" spans="1:16" x14ac:dyDescent="0.35">
      <c r="A505">
        <v>6452805</v>
      </c>
      <c r="B505" t="s">
        <v>3638</v>
      </c>
      <c r="C505" t="str">
        <f>"9781789738063"</f>
        <v>9781789738063</v>
      </c>
      <c r="D505" t="str">
        <f>"9781789738032"</f>
        <v>9781789738032</v>
      </c>
      <c r="E505" t="s">
        <v>187</v>
      </c>
      <c r="F505" t="s">
        <v>187</v>
      </c>
      <c r="G505" s="1">
        <v>44218</v>
      </c>
      <c r="H505" s="1">
        <v>44207</v>
      </c>
      <c r="J505" t="s">
        <v>2190</v>
      </c>
      <c r="K505" t="s">
        <v>3639</v>
      </c>
      <c r="L505" t="s">
        <v>105</v>
      </c>
      <c r="M505" t="s">
        <v>3640</v>
      </c>
      <c r="N505">
        <v>363.7</v>
      </c>
      <c r="O505" t="s">
        <v>3641</v>
      </c>
      <c r="P505" t="s">
        <v>18</v>
      </c>
    </row>
    <row r="506" spans="1:16" x14ac:dyDescent="0.35">
      <c r="A506">
        <v>6420040</v>
      </c>
      <c r="B506" t="s">
        <v>3642</v>
      </c>
      <c r="C506" t="str">
        <f>"9781472979131"</f>
        <v>9781472979131</v>
      </c>
      <c r="D506" t="str">
        <f>"9781472979124"</f>
        <v>9781472979124</v>
      </c>
      <c r="E506" t="s">
        <v>354</v>
      </c>
      <c r="F506" t="s">
        <v>3643</v>
      </c>
      <c r="G506" s="1">
        <v>44217</v>
      </c>
      <c r="H506" s="1">
        <v>44169</v>
      </c>
      <c r="K506" t="s">
        <v>3644</v>
      </c>
      <c r="L506" t="s">
        <v>28</v>
      </c>
      <c r="M506" t="s">
        <v>3645</v>
      </c>
      <c r="N506">
        <v>658.80200000000002</v>
      </c>
      <c r="O506" t="s">
        <v>3646</v>
      </c>
      <c r="P506" t="s">
        <v>18</v>
      </c>
    </row>
    <row r="507" spans="1:16" x14ac:dyDescent="0.35">
      <c r="A507">
        <v>6467074</v>
      </c>
      <c r="B507" t="s">
        <v>3647</v>
      </c>
      <c r="C507" t="str">
        <f>"9781527564114"</f>
        <v>9781527564114</v>
      </c>
      <c r="D507" t="str">
        <f>"9781527564589"</f>
        <v>9781527564589</v>
      </c>
      <c r="E507" t="s">
        <v>1662</v>
      </c>
      <c r="F507" t="s">
        <v>1662</v>
      </c>
      <c r="G507" s="1">
        <v>44217</v>
      </c>
      <c r="H507" s="1">
        <v>44229</v>
      </c>
      <c r="K507" t="s">
        <v>3648</v>
      </c>
      <c r="L507" t="s">
        <v>3649</v>
      </c>
      <c r="M507" t="s">
        <v>3650</v>
      </c>
      <c r="N507">
        <v>733</v>
      </c>
      <c r="O507" t="s">
        <v>3651</v>
      </c>
      <c r="P507" t="s">
        <v>18</v>
      </c>
    </row>
    <row r="508" spans="1:16" x14ac:dyDescent="0.35">
      <c r="A508">
        <v>6421914</v>
      </c>
      <c r="B508" t="s">
        <v>3652</v>
      </c>
      <c r="C508" t="str">
        <f>"9781642831283"</f>
        <v>9781642831283</v>
      </c>
      <c r="D508" t="str">
        <f>"9781642831290"</f>
        <v>9781642831290</v>
      </c>
      <c r="E508" t="s">
        <v>2154</v>
      </c>
      <c r="F508" t="s">
        <v>2154</v>
      </c>
      <c r="G508" s="1">
        <v>44215</v>
      </c>
      <c r="H508" s="1">
        <v>44174</v>
      </c>
      <c r="I508">
        <v>1</v>
      </c>
      <c r="K508" t="s">
        <v>3653</v>
      </c>
      <c r="L508" t="s">
        <v>61</v>
      </c>
      <c r="P508" t="s">
        <v>18</v>
      </c>
    </row>
    <row r="509" spans="1:16" x14ac:dyDescent="0.35">
      <c r="A509">
        <v>6457900</v>
      </c>
      <c r="B509" t="s">
        <v>3654</v>
      </c>
      <c r="C509" t="str">
        <f>"9780323854511"</f>
        <v>9780323854511</v>
      </c>
      <c r="D509" t="str">
        <f>"9780323854528"</f>
        <v>9780323854528</v>
      </c>
      <c r="E509" t="s">
        <v>1699</v>
      </c>
      <c r="F509" t="s">
        <v>1699</v>
      </c>
      <c r="G509" s="1">
        <v>44214</v>
      </c>
      <c r="H509" s="1">
        <v>44212</v>
      </c>
      <c r="K509" t="s">
        <v>3655</v>
      </c>
      <c r="L509" t="s">
        <v>86</v>
      </c>
      <c r="M509" t="s">
        <v>3656</v>
      </c>
      <c r="N509">
        <v>333.85140000000001</v>
      </c>
      <c r="O509" t="s">
        <v>3657</v>
      </c>
      <c r="P509" t="s">
        <v>18</v>
      </c>
    </row>
    <row r="510" spans="1:16" x14ac:dyDescent="0.35">
      <c r="A510">
        <v>6468889</v>
      </c>
      <c r="B510" t="s">
        <v>3658</v>
      </c>
      <c r="C510" t="str">
        <f>"9789811221798"</f>
        <v>9789811221798</v>
      </c>
      <c r="D510" t="str">
        <f>"9789811225222"</f>
        <v>9789811225222</v>
      </c>
      <c r="E510" t="s">
        <v>184</v>
      </c>
      <c r="F510" t="s">
        <v>185</v>
      </c>
      <c r="G510" s="1">
        <v>44211</v>
      </c>
      <c r="H510" s="1">
        <v>44232</v>
      </c>
      <c r="J510" t="s">
        <v>2691</v>
      </c>
      <c r="K510" t="s">
        <v>3659</v>
      </c>
      <c r="L510" t="s">
        <v>195</v>
      </c>
      <c r="M510" t="s">
        <v>3660</v>
      </c>
      <c r="N510">
        <v>333.72095899999999</v>
      </c>
      <c r="O510" t="s">
        <v>3661</v>
      </c>
      <c r="P510" t="s">
        <v>18</v>
      </c>
    </row>
    <row r="511" spans="1:16" x14ac:dyDescent="0.35">
      <c r="A511">
        <v>6523055</v>
      </c>
      <c r="B511" t="s">
        <v>3662</v>
      </c>
      <c r="C511" t="str">
        <f>"9781799880516"</f>
        <v>9781799880516</v>
      </c>
      <c r="D511" t="str">
        <f>"9781799881056"</f>
        <v>9781799881056</v>
      </c>
      <c r="E511" t="s">
        <v>138</v>
      </c>
      <c r="F511" t="s">
        <v>1789</v>
      </c>
      <c r="G511" s="1">
        <v>44211</v>
      </c>
      <c r="H511" s="1">
        <v>44275</v>
      </c>
      <c r="K511" t="s">
        <v>1999</v>
      </c>
      <c r="L511" t="s">
        <v>234</v>
      </c>
      <c r="M511" t="s">
        <v>3663</v>
      </c>
      <c r="N511">
        <v>27</v>
      </c>
      <c r="O511" t="s">
        <v>477</v>
      </c>
      <c r="P511" t="s">
        <v>18</v>
      </c>
    </row>
    <row r="512" spans="1:16" x14ac:dyDescent="0.35">
      <c r="A512">
        <v>6386268</v>
      </c>
      <c r="B512" t="s">
        <v>3664</v>
      </c>
      <c r="C512" t="str">
        <f>"9781642830675"</f>
        <v>9781642830675</v>
      </c>
      <c r="D512" t="str">
        <f>"9781642830682"</f>
        <v>9781642830682</v>
      </c>
      <c r="E512" t="s">
        <v>2154</v>
      </c>
      <c r="F512" t="s">
        <v>2154</v>
      </c>
      <c r="G512" s="1">
        <v>44210</v>
      </c>
      <c r="H512" s="1">
        <v>44144</v>
      </c>
      <c r="I512">
        <v>1</v>
      </c>
      <c r="K512" t="s">
        <v>3665</v>
      </c>
      <c r="L512" t="s">
        <v>39</v>
      </c>
      <c r="N512">
        <v>333.79</v>
      </c>
      <c r="P512" t="s">
        <v>18</v>
      </c>
    </row>
    <row r="513" spans="1:16" x14ac:dyDescent="0.35">
      <c r="A513">
        <v>6416078</v>
      </c>
      <c r="B513" t="s">
        <v>3666</v>
      </c>
      <c r="C513" t="str">
        <f>"9781350092457"</f>
        <v>9781350092457</v>
      </c>
      <c r="D513" t="str">
        <f>"9781350092488"</f>
        <v>9781350092488</v>
      </c>
      <c r="E513" t="s">
        <v>539</v>
      </c>
      <c r="F513" t="s">
        <v>540</v>
      </c>
      <c r="G513" s="1">
        <v>44210</v>
      </c>
      <c r="H513" s="1">
        <v>44166</v>
      </c>
      <c r="K513" t="s">
        <v>3667</v>
      </c>
      <c r="L513" t="s">
        <v>27</v>
      </c>
      <c r="M513" t="s">
        <v>3668</v>
      </c>
      <c r="N513">
        <v>746.92</v>
      </c>
      <c r="O513" t="s">
        <v>3669</v>
      </c>
      <c r="P513" t="s">
        <v>18</v>
      </c>
    </row>
    <row r="514" spans="1:16" x14ac:dyDescent="0.35">
      <c r="A514">
        <v>6461703</v>
      </c>
      <c r="B514" t="s">
        <v>3670</v>
      </c>
      <c r="C514" t="str">
        <f>"9781536190625"</f>
        <v>9781536190625</v>
      </c>
      <c r="D514" t="str">
        <f>"9781536191202"</f>
        <v>9781536191202</v>
      </c>
      <c r="E514" t="s">
        <v>1689</v>
      </c>
      <c r="F514" t="s">
        <v>1689</v>
      </c>
      <c r="G514" s="1">
        <v>44209</v>
      </c>
      <c r="H514" s="1">
        <v>44219</v>
      </c>
      <c r="I514">
        <v>1</v>
      </c>
      <c r="J514" t="s">
        <v>3671</v>
      </c>
      <c r="K514" t="s">
        <v>3672</v>
      </c>
      <c r="L514" t="s">
        <v>1712</v>
      </c>
      <c r="P514" t="s">
        <v>18</v>
      </c>
    </row>
    <row r="515" spans="1:16" x14ac:dyDescent="0.35">
      <c r="A515">
        <v>6425483</v>
      </c>
      <c r="B515" t="s">
        <v>3673</v>
      </c>
      <c r="C515" t="str">
        <f>"9781982150068"</f>
        <v>9781982150068</v>
      </c>
      <c r="D515" t="str">
        <f>"9781982150075"</f>
        <v>9781982150075</v>
      </c>
      <c r="E515" t="s">
        <v>2705</v>
      </c>
      <c r="F515" t="s">
        <v>2706</v>
      </c>
      <c r="G515" s="1">
        <v>44208</v>
      </c>
      <c r="H515" s="1">
        <v>44181</v>
      </c>
      <c r="K515" t="s">
        <v>3674</v>
      </c>
      <c r="L515" t="s">
        <v>320</v>
      </c>
      <c r="M515" t="s">
        <v>3675</v>
      </c>
      <c r="N515">
        <v>641.30999999999995</v>
      </c>
      <c r="O515" t="s">
        <v>3676</v>
      </c>
      <c r="P515" t="s">
        <v>18</v>
      </c>
    </row>
    <row r="516" spans="1:16" x14ac:dyDescent="0.35">
      <c r="A516">
        <v>6452760</v>
      </c>
      <c r="B516" t="s">
        <v>3677</v>
      </c>
      <c r="C516" t="str">
        <f>"9780128221242"</f>
        <v>9780128221242</v>
      </c>
      <c r="D516" t="str">
        <f>"9780128221617"</f>
        <v>9780128221617</v>
      </c>
      <c r="E516" t="s">
        <v>190</v>
      </c>
      <c r="F516" t="s">
        <v>280</v>
      </c>
      <c r="G516" s="1">
        <v>44208</v>
      </c>
      <c r="H516" s="1">
        <v>44206</v>
      </c>
      <c r="J516" t="s">
        <v>3678</v>
      </c>
      <c r="K516" t="s">
        <v>3679</v>
      </c>
      <c r="L516" t="s">
        <v>3680</v>
      </c>
      <c r="M516" t="s">
        <v>3681</v>
      </c>
      <c r="N516">
        <v>628</v>
      </c>
      <c r="O516" t="s">
        <v>3682</v>
      </c>
      <c r="P516" t="s">
        <v>18</v>
      </c>
    </row>
    <row r="517" spans="1:16" x14ac:dyDescent="0.35">
      <c r="A517">
        <v>6452763</v>
      </c>
      <c r="B517" t="s">
        <v>3683</v>
      </c>
      <c r="C517" t="str">
        <f>"9780128228975"</f>
        <v>9780128228975</v>
      </c>
      <c r="D517" t="str">
        <f>"9780128230879"</f>
        <v>9780128230879</v>
      </c>
      <c r="E517" t="s">
        <v>190</v>
      </c>
      <c r="F517" t="s">
        <v>191</v>
      </c>
      <c r="G517" s="1">
        <v>44208</v>
      </c>
      <c r="H517" s="1">
        <v>44206</v>
      </c>
      <c r="K517" t="s">
        <v>3684</v>
      </c>
      <c r="L517" t="s">
        <v>206</v>
      </c>
      <c r="M517" t="s">
        <v>3685</v>
      </c>
      <c r="N517">
        <v>621.04200000000003</v>
      </c>
      <c r="O517" t="s">
        <v>3686</v>
      </c>
      <c r="P517" t="s">
        <v>18</v>
      </c>
    </row>
    <row r="518" spans="1:16" x14ac:dyDescent="0.35">
      <c r="A518">
        <v>6454285</v>
      </c>
      <c r="B518" t="s">
        <v>3687</v>
      </c>
      <c r="C518" t="str">
        <f>"9780128185650"</f>
        <v>9780128185650</v>
      </c>
      <c r="D518" t="str">
        <f>"9780128185667"</f>
        <v>9780128185667</v>
      </c>
      <c r="E518" t="s">
        <v>190</v>
      </c>
      <c r="F518" t="s">
        <v>2139</v>
      </c>
      <c r="G518" s="1">
        <v>44208</v>
      </c>
      <c r="H518" s="1">
        <v>44208</v>
      </c>
      <c r="K518" t="s">
        <v>3688</v>
      </c>
      <c r="L518" t="s">
        <v>2909</v>
      </c>
      <c r="M518" t="s">
        <v>3689</v>
      </c>
      <c r="N518">
        <v>665.7</v>
      </c>
      <c r="O518" t="s">
        <v>3690</v>
      </c>
      <c r="P518" t="s">
        <v>18</v>
      </c>
    </row>
    <row r="519" spans="1:16" x14ac:dyDescent="0.35">
      <c r="A519">
        <v>6462855</v>
      </c>
      <c r="B519" t="s">
        <v>3691</v>
      </c>
      <c r="C519" t="str">
        <f>"9781839102226"</f>
        <v>9781839102226</v>
      </c>
      <c r="D519" t="str">
        <f>"9781839102233"</f>
        <v>9781839102233</v>
      </c>
      <c r="E519" t="s">
        <v>2080</v>
      </c>
      <c r="F519" t="s">
        <v>2080</v>
      </c>
      <c r="G519" s="1">
        <v>44208</v>
      </c>
      <c r="H519" s="1">
        <v>44222</v>
      </c>
      <c r="J519" t="s">
        <v>3028</v>
      </c>
      <c r="K519" t="s">
        <v>3692</v>
      </c>
      <c r="L519" t="s">
        <v>3693</v>
      </c>
      <c r="M519" t="s">
        <v>3694</v>
      </c>
      <c r="N519" t="s">
        <v>3695</v>
      </c>
      <c r="O519" t="s">
        <v>3696</v>
      </c>
      <c r="P519" t="s">
        <v>18</v>
      </c>
    </row>
    <row r="520" spans="1:16" x14ac:dyDescent="0.35">
      <c r="A520">
        <v>6452796</v>
      </c>
      <c r="B520" t="s">
        <v>3697</v>
      </c>
      <c r="C520" t="str">
        <f>"9781800437753"</f>
        <v>9781800437753</v>
      </c>
      <c r="D520" t="str">
        <f>"9781800437760"</f>
        <v>9781800437760</v>
      </c>
      <c r="E520" t="s">
        <v>187</v>
      </c>
      <c r="F520" t="s">
        <v>187</v>
      </c>
      <c r="G520" s="1">
        <v>44207</v>
      </c>
      <c r="H520" s="1">
        <v>44207</v>
      </c>
      <c r="J520" t="s">
        <v>1678</v>
      </c>
      <c r="K520" t="s">
        <v>3698</v>
      </c>
      <c r="L520" t="s">
        <v>26</v>
      </c>
      <c r="M520" t="s">
        <v>3699</v>
      </c>
      <c r="N520">
        <v>338.92709172399998</v>
      </c>
      <c r="O520" t="s">
        <v>503</v>
      </c>
      <c r="P520" t="s">
        <v>18</v>
      </c>
    </row>
    <row r="521" spans="1:16" x14ac:dyDescent="0.35">
      <c r="A521">
        <v>6416114</v>
      </c>
      <c r="B521" t="s">
        <v>3700</v>
      </c>
      <c r="C521" t="str">
        <f>"9781799817222"</f>
        <v>9781799817222</v>
      </c>
      <c r="D521" t="str">
        <f>"9781799817246"</f>
        <v>9781799817246</v>
      </c>
      <c r="E521" t="s">
        <v>138</v>
      </c>
      <c r="F521" t="s">
        <v>1764</v>
      </c>
      <c r="G521" s="1">
        <v>44204</v>
      </c>
      <c r="H521" s="1">
        <v>44166</v>
      </c>
      <c r="K521" t="s">
        <v>3701</v>
      </c>
      <c r="L521" t="s">
        <v>229</v>
      </c>
      <c r="M521" t="s">
        <v>3702</v>
      </c>
      <c r="N521">
        <v>338.10284999999999</v>
      </c>
      <c r="O521" t="s">
        <v>3703</v>
      </c>
      <c r="P521" t="s">
        <v>18</v>
      </c>
    </row>
    <row r="522" spans="1:16" x14ac:dyDescent="0.35">
      <c r="A522">
        <v>6631748</v>
      </c>
      <c r="B522" t="s">
        <v>3704</v>
      </c>
      <c r="C522" t="str">
        <f>"9789004445260"</f>
        <v>9789004445260</v>
      </c>
      <c r="D522" t="str">
        <f>"9789004445277"</f>
        <v>9789004445277</v>
      </c>
      <c r="E522" t="s">
        <v>228</v>
      </c>
      <c r="F522" t="s">
        <v>228</v>
      </c>
      <c r="G522" s="1">
        <v>44203</v>
      </c>
      <c r="H522" s="1">
        <v>44344</v>
      </c>
      <c r="I522">
        <v>1</v>
      </c>
      <c r="J522" t="s">
        <v>450</v>
      </c>
      <c r="K522" t="s">
        <v>3705</v>
      </c>
      <c r="L522" t="s">
        <v>24</v>
      </c>
      <c r="M522" t="s">
        <v>3706</v>
      </c>
      <c r="N522">
        <v>809.93359999999996</v>
      </c>
      <c r="O522" t="s">
        <v>3707</v>
      </c>
      <c r="P522" t="s">
        <v>18</v>
      </c>
    </row>
    <row r="523" spans="1:16" x14ac:dyDescent="0.35">
      <c r="A523">
        <v>6886038</v>
      </c>
      <c r="B523" t="s">
        <v>3708</v>
      </c>
      <c r="C523" t="str">
        <f>"9789815039009"</f>
        <v>9789815039009</v>
      </c>
      <c r="D523" t="str">
        <f>"9789815036992"</f>
        <v>9789815036992</v>
      </c>
      <c r="E523" t="s">
        <v>475</v>
      </c>
      <c r="F523" t="s">
        <v>475</v>
      </c>
      <c r="G523" s="1">
        <v>44200</v>
      </c>
      <c r="H523" s="1">
        <v>44603</v>
      </c>
      <c r="I523">
        <v>1</v>
      </c>
      <c r="K523" t="s">
        <v>3709</v>
      </c>
      <c r="L523" t="s">
        <v>186</v>
      </c>
      <c r="N523">
        <v>621.04200000000003</v>
      </c>
      <c r="O523" t="s">
        <v>3710</v>
      </c>
      <c r="P523" t="s">
        <v>18</v>
      </c>
    </row>
    <row r="524" spans="1:16" x14ac:dyDescent="0.35">
      <c r="A524">
        <v>6419863</v>
      </c>
      <c r="B524" t="s">
        <v>3711</v>
      </c>
      <c r="C524" t="str">
        <f>"9780309678391"</f>
        <v>9780309678391</v>
      </c>
      <c r="D524" t="str">
        <f>"9780309678407"</f>
        <v>9780309678407</v>
      </c>
      <c r="E524" t="s">
        <v>531</v>
      </c>
      <c r="F524" t="s">
        <v>531</v>
      </c>
      <c r="G524" s="1">
        <v>44198</v>
      </c>
      <c r="H524" s="1">
        <v>44169</v>
      </c>
      <c r="I524">
        <v>1</v>
      </c>
      <c r="K524" t="s">
        <v>3712</v>
      </c>
      <c r="L524" t="s">
        <v>30</v>
      </c>
      <c r="P524" t="s">
        <v>18</v>
      </c>
    </row>
    <row r="525" spans="1:16" x14ac:dyDescent="0.35">
      <c r="A525">
        <v>6384392</v>
      </c>
      <c r="B525" t="s">
        <v>3713</v>
      </c>
      <c r="C525" t="str">
        <f>""</f>
        <v/>
      </c>
      <c r="D525" t="str">
        <f>"9781799861904"</f>
        <v>9781799861904</v>
      </c>
      <c r="E525" t="s">
        <v>138</v>
      </c>
      <c r="F525" t="s">
        <v>138</v>
      </c>
      <c r="G525" s="1">
        <v>44197</v>
      </c>
      <c r="H525" s="1">
        <v>44140</v>
      </c>
      <c r="K525" t="s">
        <v>2410</v>
      </c>
      <c r="L525" t="s">
        <v>38</v>
      </c>
      <c r="M525" t="s">
        <v>2411</v>
      </c>
      <c r="N525">
        <v>305</v>
      </c>
      <c r="O525" t="s">
        <v>3714</v>
      </c>
      <c r="P525" t="s">
        <v>18</v>
      </c>
    </row>
    <row r="526" spans="1:16" x14ac:dyDescent="0.35">
      <c r="A526">
        <v>6406266</v>
      </c>
      <c r="B526" t="s">
        <v>3715</v>
      </c>
      <c r="C526" t="str">
        <f>""</f>
        <v/>
      </c>
      <c r="D526" t="str">
        <f>"9781799863687"</f>
        <v>9781799863687</v>
      </c>
      <c r="E526" t="s">
        <v>138</v>
      </c>
      <c r="F526" t="s">
        <v>138</v>
      </c>
      <c r="G526" s="1">
        <v>44197</v>
      </c>
      <c r="H526" s="1">
        <v>44159</v>
      </c>
      <c r="K526" t="s">
        <v>2522</v>
      </c>
      <c r="L526" t="s">
        <v>104</v>
      </c>
      <c r="M526" t="s">
        <v>3716</v>
      </c>
      <c r="N526">
        <v>628</v>
      </c>
      <c r="O526" t="s">
        <v>3717</v>
      </c>
      <c r="P526" t="s">
        <v>18</v>
      </c>
    </row>
    <row r="527" spans="1:16" x14ac:dyDescent="0.35">
      <c r="A527">
        <v>6454769</v>
      </c>
      <c r="B527" t="s">
        <v>3718</v>
      </c>
      <c r="C527" t="str">
        <f>""</f>
        <v/>
      </c>
      <c r="D527" t="str">
        <f>"9781799863007"</f>
        <v>9781799863007</v>
      </c>
      <c r="E527" t="s">
        <v>138</v>
      </c>
      <c r="F527" t="s">
        <v>138</v>
      </c>
      <c r="G527" s="1">
        <v>44197</v>
      </c>
      <c r="H527" s="1">
        <v>44209</v>
      </c>
      <c r="K527" t="s">
        <v>2824</v>
      </c>
      <c r="L527" t="s">
        <v>26</v>
      </c>
      <c r="M527" t="s">
        <v>2825</v>
      </c>
      <c r="N527">
        <v>338.92700000000002</v>
      </c>
      <c r="O527" t="s">
        <v>3719</v>
      </c>
      <c r="P527" t="s">
        <v>18</v>
      </c>
    </row>
    <row r="528" spans="1:16" x14ac:dyDescent="0.35">
      <c r="A528">
        <v>6565105</v>
      </c>
      <c r="B528" t="s">
        <v>3720</v>
      </c>
      <c r="C528" t="str">
        <f>""</f>
        <v/>
      </c>
      <c r="D528" t="str">
        <f>"9781799862642"</f>
        <v>9781799862642</v>
      </c>
      <c r="E528" t="s">
        <v>138</v>
      </c>
      <c r="F528" t="s">
        <v>138</v>
      </c>
      <c r="G528" s="1">
        <v>44197</v>
      </c>
      <c r="H528" s="1">
        <v>44310</v>
      </c>
      <c r="K528" t="s">
        <v>3292</v>
      </c>
      <c r="L528" t="s">
        <v>41</v>
      </c>
      <c r="M528" t="s">
        <v>3721</v>
      </c>
      <c r="N528">
        <v>338.92700000000002</v>
      </c>
      <c r="O528" t="s">
        <v>2677</v>
      </c>
      <c r="P528" t="s">
        <v>18</v>
      </c>
    </row>
    <row r="529" spans="1:16" x14ac:dyDescent="0.35">
      <c r="A529">
        <v>6424998</v>
      </c>
      <c r="B529" t="s">
        <v>3722</v>
      </c>
      <c r="C529" t="str">
        <f>"9781536189803"</f>
        <v>9781536189803</v>
      </c>
      <c r="D529" t="str">
        <f>"9781536189971"</f>
        <v>9781536189971</v>
      </c>
      <c r="E529" t="s">
        <v>1689</v>
      </c>
      <c r="F529" t="s">
        <v>1689</v>
      </c>
      <c r="G529" s="1">
        <v>44195</v>
      </c>
      <c r="H529" s="1">
        <v>44180</v>
      </c>
      <c r="I529">
        <v>1</v>
      </c>
      <c r="J529" t="s">
        <v>3723</v>
      </c>
      <c r="K529" t="s">
        <v>3724</v>
      </c>
      <c r="L529" t="s">
        <v>557</v>
      </c>
      <c r="P529" t="s">
        <v>18</v>
      </c>
    </row>
    <row r="530" spans="1:16" x14ac:dyDescent="0.35">
      <c r="A530">
        <v>6416057</v>
      </c>
      <c r="B530" t="s">
        <v>3725</v>
      </c>
      <c r="C530" t="str">
        <f>"9781350153226"</f>
        <v>9781350153226</v>
      </c>
      <c r="D530" t="str">
        <f>"9781350153387"</f>
        <v>9781350153387</v>
      </c>
      <c r="E530" t="s">
        <v>354</v>
      </c>
      <c r="F530" t="s">
        <v>355</v>
      </c>
      <c r="G530" s="1">
        <v>44189</v>
      </c>
      <c r="H530" s="1">
        <v>44166</v>
      </c>
      <c r="J530" t="s">
        <v>3456</v>
      </c>
      <c r="K530" t="s">
        <v>3726</v>
      </c>
      <c r="L530" t="s">
        <v>24</v>
      </c>
      <c r="M530" t="s">
        <v>3727</v>
      </c>
      <c r="N530" t="s">
        <v>3728</v>
      </c>
      <c r="O530" t="s">
        <v>3729</v>
      </c>
      <c r="P530" t="s">
        <v>18</v>
      </c>
    </row>
    <row r="531" spans="1:16" x14ac:dyDescent="0.35">
      <c r="A531">
        <v>6416068</v>
      </c>
      <c r="B531" t="s">
        <v>3730</v>
      </c>
      <c r="C531" t="str">
        <f>"9781509940066"</f>
        <v>9781509940066</v>
      </c>
      <c r="D531" t="str">
        <f>"9781509940080"</f>
        <v>9781509940080</v>
      </c>
      <c r="E531" t="s">
        <v>354</v>
      </c>
      <c r="F531" t="s">
        <v>294</v>
      </c>
      <c r="G531" s="1">
        <v>44189</v>
      </c>
      <c r="H531" s="1">
        <v>44166</v>
      </c>
      <c r="K531" t="s">
        <v>3731</v>
      </c>
      <c r="L531" t="s">
        <v>23</v>
      </c>
      <c r="M531" t="s">
        <v>3732</v>
      </c>
      <c r="N531">
        <v>344.04602690000002</v>
      </c>
      <c r="O531" t="s">
        <v>3733</v>
      </c>
      <c r="P531" t="s">
        <v>18</v>
      </c>
    </row>
    <row r="532" spans="1:16" x14ac:dyDescent="0.35">
      <c r="A532">
        <v>6406225</v>
      </c>
      <c r="B532" t="s">
        <v>3734</v>
      </c>
      <c r="C532" t="str">
        <f>"9781789242812"</f>
        <v>9781789242812</v>
      </c>
      <c r="D532" t="str">
        <f>"9781789242836"</f>
        <v>9781789242836</v>
      </c>
      <c r="E532" t="s">
        <v>333</v>
      </c>
      <c r="F532" t="s">
        <v>333</v>
      </c>
      <c r="G532" s="1">
        <v>44188</v>
      </c>
      <c r="H532" s="1">
        <v>44159</v>
      </c>
      <c r="K532" t="s">
        <v>3735</v>
      </c>
      <c r="L532" t="s">
        <v>64</v>
      </c>
      <c r="M532" t="s">
        <v>3736</v>
      </c>
      <c r="N532">
        <v>338.47910000000002</v>
      </c>
      <c r="O532" t="s">
        <v>75</v>
      </c>
      <c r="P532" t="s">
        <v>18</v>
      </c>
    </row>
    <row r="533" spans="1:16" x14ac:dyDescent="0.35">
      <c r="A533">
        <v>6454325</v>
      </c>
      <c r="B533" t="s">
        <v>3737</v>
      </c>
      <c r="C533" t="str">
        <f>"9781527562257"</f>
        <v>9781527562257</v>
      </c>
      <c r="D533" t="str">
        <f>"9781527563605"</f>
        <v>9781527563605</v>
      </c>
      <c r="E533" t="s">
        <v>1662</v>
      </c>
      <c r="F533" t="s">
        <v>1662</v>
      </c>
      <c r="G533" s="1">
        <v>44188</v>
      </c>
      <c r="H533" s="1">
        <v>44208</v>
      </c>
      <c r="K533" t="s">
        <v>3738</v>
      </c>
      <c r="L533" t="s">
        <v>271</v>
      </c>
      <c r="M533" t="s">
        <v>3739</v>
      </c>
      <c r="N533">
        <v>910.68399999999997</v>
      </c>
      <c r="O533" t="s">
        <v>3740</v>
      </c>
      <c r="P533" t="s">
        <v>18</v>
      </c>
    </row>
    <row r="534" spans="1:16" x14ac:dyDescent="0.35">
      <c r="A534">
        <v>6455743</v>
      </c>
      <c r="B534" t="s">
        <v>3741</v>
      </c>
      <c r="C534" t="str">
        <f>"9789811230349"</f>
        <v>9789811230349</v>
      </c>
      <c r="D534" t="str">
        <f>"9789811230356"</f>
        <v>9789811230356</v>
      </c>
      <c r="E534" t="s">
        <v>184</v>
      </c>
      <c r="F534" t="s">
        <v>185</v>
      </c>
      <c r="G534" s="1">
        <v>44188</v>
      </c>
      <c r="H534" s="1">
        <v>44211</v>
      </c>
      <c r="K534" t="s">
        <v>3742</v>
      </c>
      <c r="L534" t="s">
        <v>28</v>
      </c>
      <c r="M534" t="s">
        <v>3743</v>
      </c>
      <c r="N534">
        <v>658.40129999999999</v>
      </c>
      <c r="O534" t="s">
        <v>3744</v>
      </c>
      <c r="P534" t="s">
        <v>18</v>
      </c>
    </row>
    <row r="535" spans="1:16" x14ac:dyDescent="0.35">
      <c r="A535">
        <v>6420560</v>
      </c>
      <c r="B535" t="s">
        <v>3745</v>
      </c>
      <c r="C535" t="str">
        <f>"9781536190564"</f>
        <v>9781536190564</v>
      </c>
      <c r="D535" t="str">
        <f>"9781536190748"</f>
        <v>9781536190748</v>
      </c>
      <c r="E535" t="s">
        <v>1689</v>
      </c>
      <c r="F535" t="s">
        <v>1689</v>
      </c>
      <c r="G535" s="1">
        <v>44187</v>
      </c>
      <c r="H535" s="1">
        <v>44170</v>
      </c>
      <c r="I535">
        <v>1</v>
      </c>
      <c r="J535" t="s">
        <v>3746</v>
      </c>
      <c r="K535" t="s">
        <v>3747</v>
      </c>
      <c r="L535" t="s">
        <v>105</v>
      </c>
      <c r="M535" t="s">
        <v>3748</v>
      </c>
      <c r="N535">
        <v>363.7</v>
      </c>
      <c r="O535" t="s">
        <v>3749</v>
      </c>
      <c r="P535" t="s">
        <v>18</v>
      </c>
    </row>
    <row r="536" spans="1:16" x14ac:dyDescent="0.35">
      <c r="A536">
        <v>6397943</v>
      </c>
      <c r="B536" t="s">
        <v>3750</v>
      </c>
      <c r="C536" t="str">
        <f>"9781522588733"</f>
        <v>9781522588733</v>
      </c>
      <c r="D536" t="str">
        <f>"9781522588740"</f>
        <v>9781522588740</v>
      </c>
      <c r="E536" t="s">
        <v>138</v>
      </c>
      <c r="F536" t="s">
        <v>1789</v>
      </c>
      <c r="G536" s="1">
        <v>44183</v>
      </c>
      <c r="H536" s="1">
        <v>44152</v>
      </c>
      <c r="K536" t="s">
        <v>3751</v>
      </c>
      <c r="L536" t="s">
        <v>342</v>
      </c>
      <c r="M536" t="s">
        <v>3752</v>
      </c>
      <c r="N536">
        <v>28.7</v>
      </c>
      <c r="O536" t="s">
        <v>3753</v>
      </c>
      <c r="P536" t="s">
        <v>18</v>
      </c>
    </row>
    <row r="537" spans="1:16" x14ac:dyDescent="0.35">
      <c r="A537">
        <v>6422461</v>
      </c>
      <c r="B537" t="s">
        <v>3754</v>
      </c>
      <c r="C537" t="str">
        <f>"9781789900460"</f>
        <v>9781789900460</v>
      </c>
      <c r="D537" t="str">
        <f>"9781789900477"</f>
        <v>9781789900477</v>
      </c>
      <c r="E537" t="s">
        <v>2080</v>
      </c>
      <c r="F537" t="s">
        <v>2080</v>
      </c>
      <c r="G537" s="1">
        <v>44183</v>
      </c>
      <c r="H537" s="1">
        <v>44175</v>
      </c>
      <c r="J537" t="s">
        <v>3755</v>
      </c>
      <c r="K537" t="s">
        <v>3756</v>
      </c>
      <c r="L537" t="s">
        <v>28</v>
      </c>
      <c r="M537" t="s">
        <v>3757</v>
      </c>
      <c r="N537">
        <v>388.4</v>
      </c>
      <c r="O537" t="s">
        <v>3758</v>
      </c>
      <c r="P537" t="s">
        <v>18</v>
      </c>
    </row>
    <row r="538" spans="1:16" x14ac:dyDescent="0.35">
      <c r="A538">
        <v>6452355</v>
      </c>
      <c r="B538" t="s">
        <v>3759</v>
      </c>
      <c r="C538" t="str">
        <f>"9783736973411"</f>
        <v>9783736973411</v>
      </c>
      <c r="D538" t="str">
        <f>"9783736963412"</f>
        <v>9783736963412</v>
      </c>
      <c r="E538" t="s">
        <v>2357</v>
      </c>
      <c r="F538" t="s">
        <v>2357</v>
      </c>
      <c r="G538" s="1">
        <v>44182</v>
      </c>
      <c r="H538" s="1">
        <v>44205</v>
      </c>
      <c r="I538">
        <v>1</v>
      </c>
      <c r="J538" t="s">
        <v>3760</v>
      </c>
      <c r="K538" t="s">
        <v>3761</v>
      </c>
      <c r="L538" t="s">
        <v>142</v>
      </c>
      <c r="M538" t="s">
        <v>3762</v>
      </c>
      <c r="N538">
        <v>621.04200000000003</v>
      </c>
      <c r="O538" t="s">
        <v>3763</v>
      </c>
      <c r="P538" t="s">
        <v>18</v>
      </c>
    </row>
    <row r="539" spans="1:16" x14ac:dyDescent="0.35">
      <c r="A539">
        <v>6702105</v>
      </c>
      <c r="B539" t="s">
        <v>3764</v>
      </c>
      <c r="C539" t="str">
        <f>""</f>
        <v/>
      </c>
      <c r="D539" t="str">
        <f>"9781501519772"</f>
        <v>9781501519772</v>
      </c>
      <c r="E539" t="s">
        <v>404</v>
      </c>
      <c r="F539" t="s">
        <v>404</v>
      </c>
      <c r="G539" s="1">
        <v>44181</v>
      </c>
      <c r="H539" s="1">
        <v>44424</v>
      </c>
      <c r="J539" t="s">
        <v>2342</v>
      </c>
      <c r="K539" t="s">
        <v>3765</v>
      </c>
      <c r="L539" t="s">
        <v>532</v>
      </c>
      <c r="M539" t="s">
        <v>3766</v>
      </c>
      <c r="N539" t="s">
        <v>3767</v>
      </c>
      <c r="O539" t="s">
        <v>3768</v>
      </c>
      <c r="P539" t="s">
        <v>18</v>
      </c>
    </row>
    <row r="540" spans="1:16" x14ac:dyDescent="0.35">
      <c r="A540">
        <v>6416337</v>
      </c>
      <c r="B540" t="s">
        <v>3769</v>
      </c>
      <c r="C540" t="str">
        <f>"9781538133347"</f>
        <v>9781538133347</v>
      </c>
      <c r="D540" t="str">
        <f>"9781538133354"</f>
        <v>9781538133354</v>
      </c>
      <c r="E540" t="s">
        <v>443</v>
      </c>
      <c r="F540" t="s">
        <v>443</v>
      </c>
      <c r="G540" s="1">
        <v>44180</v>
      </c>
      <c r="H540" s="1">
        <v>44167</v>
      </c>
      <c r="I540">
        <v>2</v>
      </c>
      <c r="J540" t="s">
        <v>3770</v>
      </c>
      <c r="K540" t="s">
        <v>3771</v>
      </c>
      <c r="L540" t="s">
        <v>3772</v>
      </c>
      <c r="M540" t="s">
        <v>3773</v>
      </c>
      <c r="N540">
        <v>25.84</v>
      </c>
      <c r="O540" t="s">
        <v>3774</v>
      </c>
      <c r="P540" t="s">
        <v>18</v>
      </c>
    </row>
    <row r="541" spans="1:16" x14ac:dyDescent="0.35">
      <c r="A541">
        <v>6422495</v>
      </c>
      <c r="B541" t="s">
        <v>3775</v>
      </c>
      <c r="C541" t="str">
        <f>"9781788972710"</f>
        <v>9781788972710</v>
      </c>
      <c r="D541" t="str">
        <f>"9781788972727"</f>
        <v>9781788972727</v>
      </c>
      <c r="E541" t="s">
        <v>2080</v>
      </c>
      <c r="F541" t="s">
        <v>2080</v>
      </c>
      <c r="G541" s="1">
        <v>44180</v>
      </c>
      <c r="H541" s="1">
        <v>44175</v>
      </c>
      <c r="K541" t="s">
        <v>3776</v>
      </c>
      <c r="L541" t="s">
        <v>41</v>
      </c>
      <c r="M541" t="s">
        <v>3777</v>
      </c>
      <c r="N541">
        <v>338.92700000000002</v>
      </c>
      <c r="O541" t="s">
        <v>3778</v>
      </c>
      <c r="P541" t="s">
        <v>18</v>
      </c>
    </row>
    <row r="542" spans="1:16" x14ac:dyDescent="0.35">
      <c r="A542">
        <v>6384550</v>
      </c>
      <c r="B542" t="s">
        <v>3779</v>
      </c>
      <c r="C542" t="str">
        <f>"9781789242607"</f>
        <v>9781789242607</v>
      </c>
      <c r="D542" t="str">
        <f>"9781789242621"</f>
        <v>9781789242621</v>
      </c>
      <c r="E542" t="s">
        <v>333</v>
      </c>
      <c r="F542" t="s">
        <v>333</v>
      </c>
      <c r="G542" s="1">
        <v>44179</v>
      </c>
      <c r="H542" s="1">
        <v>44140</v>
      </c>
      <c r="K542" t="s">
        <v>3780</v>
      </c>
      <c r="L542" t="s">
        <v>172</v>
      </c>
      <c r="M542" t="s">
        <v>3781</v>
      </c>
      <c r="N542">
        <v>577.55999999999995</v>
      </c>
      <c r="O542" t="s">
        <v>3782</v>
      </c>
      <c r="P542" t="s">
        <v>18</v>
      </c>
    </row>
    <row r="543" spans="1:16" x14ac:dyDescent="0.35">
      <c r="A543">
        <v>6395670</v>
      </c>
      <c r="B543" t="s">
        <v>3783</v>
      </c>
      <c r="C543" t="str">
        <f>"9781536188738"</f>
        <v>9781536188738</v>
      </c>
      <c r="D543" t="str">
        <f>"9781536189100"</f>
        <v>9781536189100</v>
      </c>
      <c r="E543" t="s">
        <v>1689</v>
      </c>
      <c r="F543" t="s">
        <v>1689</v>
      </c>
      <c r="G543" s="1">
        <v>44179</v>
      </c>
      <c r="H543" s="1">
        <v>44149</v>
      </c>
      <c r="I543">
        <v>1</v>
      </c>
      <c r="J543" t="s">
        <v>3551</v>
      </c>
      <c r="K543" t="s">
        <v>3784</v>
      </c>
      <c r="L543" t="s">
        <v>557</v>
      </c>
      <c r="P543" t="s">
        <v>18</v>
      </c>
    </row>
    <row r="544" spans="1:16" x14ac:dyDescent="0.35">
      <c r="A544">
        <v>6395673</v>
      </c>
      <c r="B544" t="s">
        <v>3785</v>
      </c>
      <c r="C544" t="str">
        <f>"9781536188745"</f>
        <v>9781536188745</v>
      </c>
      <c r="D544" t="str">
        <f>"9781536189131"</f>
        <v>9781536189131</v>
      </c>
      <c r="E544" t="s">
        <v>1689</v>
      </c>
      <c r="F544" t="s">
        <v>1689</v>
      </c>
      <c r="G544" s="1">
        <v>44179</v>
      </c>
      <c r="H544" s="1">
        <v>44149</v>
      </c>
      <c r="I544">
        <v>1</v>
      </c>
      <c r="J544" t="s">
        <v>3786</v>
      </c>
      <c r="K544" t="s">
        <v>3787</v>
      </c>
      <c r="L544" t="s">
        <v>1712</v>
      </c>
      <c r="P544" t="s">
        <v>18</v>
      </c>
    </row>
    <row r="545" spans="1:16" x14ac:dyDescent="0.35">
      <c r="A545">
        <v>6403365</v>
      </c>
      <c r="B545" t="s">
        <v>3788</v>
      </c>
      <c r="C545" t="str">
        <f>"9781536189308"</f>
        <v>9781536189308</v>
      </c>
      <c r="D545" t="str">
        <f>"9781536189537"</f>
        <v>9781536189537</v>
      </c>
      <c r="E545" t="s">
        <v>1689</v>
      </c>
      <c r="F545" t="s">
        <v>3255</v>
      </c>
      <c r="G545" s="1">
        <v>44179</v>
      </c>
      <c r="H545" s="1">
        <v>44156</v>
      </c>
      <c r="I545">
        <v>1</v>
      </c>
      <c r="J545" t="s">
        <v>3130</v>
      </c>
      <c r="K545" t="s">
        <v>3789</v>
      </c>
      <c r="L545" t="s">
        <v>483</v>
      </c>
      <c r="M545" t="s">
        <v>3790</v>
      </c>
      <c r="N545" t="s">
        <v>3791</v>
      </c>
      <c r="O545" t="s">
        <v>3792</v>
      </c>
      <c r="P545" t="s">
        <v>18</v>
      </c>
    </row>
    <row r="546" spans="1:16" x14ac:dyDescent="0.35">
      <c r="A546">
        <v>6421105</v>
      </c>
      <c r="B546" t="s">
        <v>3793</v>
      </c>
      <c r="C546" t="str">
        <f>"9780128164372"</f>
        <v>9780128164372</v>
      </c>
      <c r="D546" t="str">
        <f>"9780128175101"</f>
        <v>9780128175101</v>
      </c>
      <c r="E546" t="s">
        <v>1699</v>
      </c>
      <c r="F546" t="s">
        <v>1699</v>
      </c>
      <c r="G546" s="1">
        <v>44176</v>
      </c>
      <c r="H546" s="1">
        <v>44172</v>
      </c>
      <c r="K546" t="s">
        <v>3794</v>
      </c>
      <c r="L546" t="s">
        <v>3795</v>
      </c>
      <c r="M546" t="s">
        <v>3796</v>
      </c>
      <c r="N546">
        <v>333.91816</v>
      </c>
      <c r="O546" t="s">
        <v>3797</v>
      </c>
      <c r="P546" t="s">
        <v>18</v>
      </c>
    </row>
    <row r="547" spans="1:16" x14ac:dyDescent="0.35">
      <c r="A547">
        <v>6422490</v>
      </c>
      <c r="B547" t="s">
        <v>3798</v>
      </c>
      <c r="C547" t="str">
        <f>"9781789906547"</f>
        <v>9781789906547</v>
      </c>
      <c r="D547" t="str">
        <f>"9781789906554"</f>
        <v>9781789906554</v>
      </c>
      <c r="E547" t="s">
        <v>2080</v>
      </c>
      <c r="F547" t="s">
        <v>2080</v>
      </c>
      <c r="G547" s="1">
        <v>44176</v>
      </c>
      <c r="H547" s="1">
        <v>44175</v>
      </c>
      <c r="K547" t="s">
        <v>3799</v>
      </c>
      <c r="L547" t="s">
        <v>38</v>
      </c>
      <c r="M547" t="s">
        <v>3800</v>
      </c>
      <c r="N547">
        <v>307.14</v>
      </c>
      <c r="O547" t="s">
        <v>3801</v>
      </c>
      <c r="P547" t="s">
        <v>18</v>
      </c>
    </row>
    <row r="548" spans="1:16" x14ac:dyDescent="0.35">
      <c r="A548">
        <v>6422494</v>
      </c>
      <c r="B548" t="s">
        <v>3802</v>
      </c>
      <c r="C548" t="str">
        <f>"9781788112222"</f>
        <v>9781788112222</v>
      </c>
      <c r="D548" t="str">
        <f>"9781788112239"</f>
        <v>9781788112239</v>
      </c>
      <c r="E548" t="s">
        <v>2080</v>
      </c>
      <c r="F548" t="s">
        <v>2080</v>
      </c>
      <c r="G548" s="1">
        <v>44176</v>
      </c>
      <c r="H548" s="1">
        <v>44175</v>
      </c>
      <c r="J548" t="s">
        <v>3803</v>
      </c>
      <c r="K548" t="s">
        <v>3804</v>
      </c>
      <c r="L548" t="s">
        <v>23</v>
      </c>
      <c r="M548" t="s">
        <v>3805</v>
      </c>
      <c r="N548">
        <v>346.04691700000001</v>
      </c>
      <c r="O548" t="s">
        <v>3806</v>
      </c>
      <c r="P548" t="s">
        <v>18</v>
      </c>
    </row>
    <row r="549" spans="1:16" x14ac:dyDescent="0.35">
      <c r="A549">
        <v>6422497</v>
      </c>
      <c r="B549" t="s">
        <v>3807</v>
      </c>
      <c r="C549" t="str">
        <f>"9781800371774"</f>
        <v>9781800371774</v>
      </c>
      <c r="D549" t="str">
        <f>"9781800371781"</f>
        <v>9781800371781</v>
      </c>
      <c r="E549" t="s">
        <v>2080</v>
      </c>
      <c r="F549" t="s">
        <v>2080</v>
      </c>
      <c r="G549" s="1">
        <v>44176</v>
      </c>
      <c r="H549" s="1">
        <v>44175</v>
      </c>
      <c r="K549" t="s">
        <v>3808</v>
      </c>
      <c r="L549" t="s">
        <v>41</v>
      </c>
      <c r="M549" t="s">
        <v>3809</v>
      </c>
      <c r="N549">
        <v>338.92700000000002</v>
      </c>
      <c r="O549" t="s">
        <v>3810</v>
      </c>
      <c r="P549" t="s">
        <v>18</v>
      </c>
    </row>
    <row r="550" spans="1:16" x14ac:dyDescent="0.35">
      <c r="A550">
        <v>6372090</v>
      </c>
      <c r="B550" t="s">
        <v>3811</v>
      </c>
      <c r="C550" t="str">
        <f>"9781350170599"</f>
        <v>9781350170599</v>
      </c>
      <c r="D550" t="str">
        <f>"9781350170612"</f>
        <v>9781350170612</v>
      </c>
      <c r="E550" t="s">
        <v>354</v>
      </c>
      <c r="F550" t="s">
        <v>355</v>
      </c>
      <c r="G550" s="1">
        <v>44175</v>
      </c>
      <c r="H550" s="1">
        <v>44119</v>
      </c>
      <c r="K550" t="s">
        <v>3812</v>
      </c>
      <c r="L550" t="s">
        <v>257</v>
      </c>
      <c r="M550" t="s">
        <v>3813</v>
      </c>
      <c r="N550">
        <v>304.27999999999997</v>
      </c>
      <c r="O550" t="s">
        <v>3814</v>
      </c>
      <c r="P550" t="s">
        <v>18</v>
      </c>
    </row>
    <row r="551" spans="1:16" x14ac:dyDescent="0.35">
      <c r="A551">
        <v>6413922</v>
      </c>
      <c r="B551" t="s">
        <v>3815</v>
      </c>
      <c r="C551" t="str">
        <f>"9780128161203"</f>
        <v>9780128161203</v>
      </c>
      <c r="D551" t="str">
        <f>"9780128164044"</f>
        <v>9780128164044</v>
      </c>
      <c r="E551" t="s">
        <v>1699</v>
      </c>
      <c r="F551" t="s">
        <v>1699</v>
      </c>
      <c r="G551" s="1">
        <v>44175</v>
      </c>
      <c r="H551" s="1">
        <v>44163</v>
      </c>
      <c r="K551" t="s">
        <v>3816</v>
      </c>
      <c r="L551" t="s">
        <v>3817</v>
      </c>
      <c r="M551" t="s">
        <v>3818</v>
      </c>
      <c r="N551">
        <v>627</v>
      </c>
      <c r="O551" t="s">
        <v>3819</v>
      </c>
      <c r="P551" t="s">
        <v>18</v>
      </c>
    </row>
    <row r="552" spans="1:16" x14ac:dyDescent="0.35">
      <c r="A552">
        <v>6416103</v>
      </c>
      <c r="B552" t="s">
        <v>3820</v>
      </c>
      <c r="C552" t="str">
        <f>"9781350051836"</f>
        <v>9781350051836</v>
      </c>
      <c r="D552" t="str">
        <f>"9781350051850"</f>
        <v>9781350051850</v>
      </c>
      <c r="E552" t="s">
        <v>354</v>
      </c>
      <c r="F552" t="s">
        <v>355</v>
      </c>
      <c r="G552" s="1">
        <v>44175</v>
      </c>
      <c r="H552" s="1">
        <v>44166</v>
      </c>
      <c r="J552" t="s">
        <v>3456</v>
      </c>
      <c r="K552" t="s">
        <v>3821</v>
      </c>
      <c r="L552" t="s">
        <v>3822</v>
      </c>
      <c r="M552" t="s">
        <v>3823</v>
      </c>
      <c r="N552">
        <v>601</v>
      </c>
      <c r="O552" t="s">
        <v>3824</v>
      </c>
      <c r="P552" t="s">
        <v>18</v>
      </c>
    </row>
    <row r="553" spans="1:16" x14ac:dyDescent="0.35">
      <c r="A553">
        <v>6416105</v>
      </c>
      <c r="B553" t="s">
        <v>3825</v>
      </c>
      <c r="C553" t="str">
        <f>"9781350098350"</f>
        <v>9781350098350</v>
      </c>
      <c r="D553" t="str">
        <f>"9781350098374"</f>
        <v>9781350098374</v>
      </c>
      <c r="E553" t="s">
        <v>354</v>
      </c>
      <c r="F553" t="s">
        <v>355</v>
      </c>
      <c r="G553" s="1">
        <v>44175</v>
      </c>
      <c r="H553" s="1">
        <v>44166</v>
      </c>
      <c r="J553" t="s">
        <v>3456</v>
      </c>
      <c r="K553" t="s">
        <v>3826</v>
      </c>
      <c r="L553" t="s">
        <v>257</v>
      </c>
      <c r="M553" t="s">
        <v>3827</v>
      </c>
      <c r="N553">
        <v>304.20947090449999</v>
      </c>
      <c r="O553" t="s">
        <v>3828</v>
      </c>
      <c r="P553" t="s">
        <v>18</v>
      </c>
    </row>
    <row r="554" spans="1:16" x14ac:dyDescent="0.35">
      <c r="A554">
        <v>6425114</v>
      </c>
      <c r="B554" t="s">
        <v>3829</v>
      </c>
      <c r="C554" t="str">
        <f>"9781509941711"</f>
        <v>9781509941711</v>
      </c>
      <c r="D554" t="str">
        <f>"9781509941728"</f>
        <v>9781509941728</v>
      </c>
      <c r="E554" t="s">
        <v>354</v>
      </c>
      <c r="F554" t="s">
        <v>294</v>
      </c>
      <c r="G554" s="1">
        <v>44175</v>
      </c>
      <c r="H554" s="1">
        <v>44180</v>
      </c>
      <c r="J554" t="s">
        <v>3830</v>
      </c>
      <c r="K554" t="s">
        <v>3831</v>
      </c>
      <c r="L554" t="s">
        <v>23</v>
      </c>
      <c r="M554" t="s">
        <v>3832</v>
      </c>
      <c r="N554">
        <v>344.04634199999998</v>
      </c>
      <c r="O554" t="s">
        <v>3833</v>
      </c>
      <c r="P554" t="s">
        <v>18</v>
      </c>
    </row>
    <row r="555" spans="1:16" x14ac:dyDescent="0.35">
      <c r="A555">
        <v>6419946</v>
      </c>
      <c r="B555" t="s">
        <v>3834</v>
      </c>
      <c r="C555" t="str">
        <f>"9780128243725"</f>
        <v>9780128243725</v>
      </c>
      <c r="D555" t="str">
        <f>"9780128243930"</f>
        <v>9780128243930</v>
      </c>
      <c r="E555" t="s">
        <v>190</v>
      </c>
      <c r="F555" t="s">
        <v>190</v>
      </c>
      <c r="G555" s="1">
        <v>44172</v>
      </c>
      <c r="H555" s="1">
        <v>44169</v>
      </c>
      <c r="I555">
        <v>3</v>
      </c>
      <c r="K555" t="s">
        <v>3835</v>
      </c>
      <c r="L555" t="s">
        <v>3836</v>
      </c>
      <c r="M555" t="s">
        <v>3837</v>
      </c>
      <c r="N555" t="s">
        <v>3838</v>
      </c>
      <c r="O555" t="s">
        <v>3839</v>
      </c>
      <c r="P555" t="s">
        <v>18</v>
      </c>
    </row>
    <row r="556" spans="1:16" x14ac:dyDescent="0.35">
      <c r="A556">
        <v>6425919</v>
      </c>
      <c r="B556" t="s">
        <v>3840</v>
      </c>
      <c r="C556" t="str">
        <f>"9789811228971"</f>
        <v>9789811228971</v>
      </c>
      <c r="D556" t="str">
        <f>"9789811228988"</f>
        <v>9789811228988</v>
      </c>
      <c r="E556" t="s">
        <v>184</v>
      </c>
      <c r="F556" t="s">
        <v>185</v>
      </c>
      <c r="G556" s="1">
        <v>44172</v>
      </c>
      <c r="H556" s="1">
        <v>44182</v>
      </c>
      <c r="K556" t="s">
        <v>3841</v>
      </c>
      <c r="L556" t="s">
        <v>41</v>
      </c>
      <c r="M556" t="s">
        <v>3842</v>
      </c>
      <c r="N556">
        <v>330.95</v>
      </c>
      <c r="O556" t="s">
        <v>3843</v>
      </c>
      <c r="P556" t="s">
        <v>18</v>
      </c>
    </row>
    <row r="557" spans="1:16" x14ac:dyDescent="0.35">
      <c r="A557">
        <v>6567361</v>
      </c>
      <c r="B557" t="s">
        <v>3844</v>
      </c>
      <c r="C557" t="str">
        <f>""</f>
        <v/>
      </c>
      <c r="D557" t="str">
        <f>"9783110630091"</f>
        <v>9783110630091</v>
      </c>
      <c r="E557" t="s">
        <v>404</v>
      </c>
      <c r="F557" t="s">
        <v>404</v>
      </c>
      <c r="G557" s="1">
        <v>44172</v>
      </c>
      <c r="H557" s="1">
        <v>44313</v>
      </c>
      <c r="J557" t="s">
        <v>2342</v>
      </c>
      <c r="K557" t="s">
        <v>3845</v>
      </c>
      <c r="L557" t="s">
        <v>3846</v>
      </c>
      <c r="M557" t="s">
        <v>3847</v>
      </c>
      <c r="N557" t="s">
        <v>3848</v>
      </c>
      <c r="O557" t="s">
        <v>3849</v>
      </c>
      <c r="P557" t="s">
        <v>18</v>
      </c>
    </row>
    <row r="558" spans="1:16" x14ac:dyDescent="0.35">
      <c r="A558">
        <v>6608173</v>
      </c>
      <c r="B558" t="s">
        <v>3850</v>
      </c>
      <c r="C558" t="str">
        <f>""</f>
        <v/>
      </c>
      <c r="D558" t="str">
        <f>"9783110646856"</f>
        <v>9783110646856</v>
      </c>
      <c r="E558" t="s">
        <v>404</v>
      </c>
      <c r="F558" t="s">
        <v>404</v>
      </c>
      <c r="G558" s="1">
        <v>44172</v>
      </c>
      <c r="H558" s="1">
        <v>44326</v>
      </c>
      <c r="J558" t="s">
        <v>2979</v>
      </c>
      <c r="K558" t="s">
        <v>3851</v>
      </c>
      <c r="L558" t="s">
        <v>76</v>
      </c>
      <c r="M558" t="s">
        <v>3852</v>
      </c>
      <c r="N558" t="s">
        <v>1687</v>
      </c>
      <c r="O558" t="s">
        <v>2033</v>
      </c>
      <c r="P558" t="s">
        <v>18</v>
      </c>
    </row>
    <row r="559" spans="1:16" x14ac:dyDescent="0.35">
      <c r="A559">
        <v>6395669</v>
      </c>
      <c r="B559" t="s">
        <v>3853</v>
      </c>
      <c r="C559" t="str">
        <f>"9781536187076"</f>
        <v>9781536187076</v>
      </c>
      <c r="D559" t="str">
        <f>"9781536187465"</f>
        <v>9781536187465</v>
      </c>
      <c r="E559" t="s">
        <v>1689</v>
      </c>
      <c r="F559" t="s">
        <v>1689</v>
      </c>
      <c r="G559" s="1">
        <v>44169</v>
      </c>
      <c r="H559" s="1">
        <v>44149</v>
      </c>
      <c r="I559">
        <v>1</v>
      </c>
      <c r="J559" t="s">
        <v>3854</v>
      </c>
      <c r="K559" t="s">
        <v>3855</v>
      </c>
      <c r="L559" t="s">
        <v>28</v>
      </c>
      <c r="N559">
        <v>658.40120000000002</v>
      </c>
      <c r="P559" t="s">
        <v>18</v>
      </c>
    </row>
    <row r="560" spans="1:16" x14ac:dyDescent="0.35">
      <c r="A560">
        <v>6397958</v>
      </c>
      <c r="B560" t="s">
        <v>3856</v>
      </c>
      <c r="C560" t="str">
        <f>"9781799848172"</f>
        <v>9781799848172</v>
      </c>
      <c r="D560" t="str">
        <f>"9781799848189"</f>
        <v>9781799848189</v>
      </c>
      <c r="E560" t="s">
        <v>138</v>
      </c>
      <c r="F560" t="s">
        <v>1769</v>
      </c>
      <c r="G560" s="1">
        <v>44169</v>
      </c>
      <c r="H560" s="1">
        <v>44152</v>
      </c>
      <c r="K560" t="s">
        <v>3857</v>
      </c>
      <c r="L560" t="s">
        <v>26</v>
      </c>
      <c r="M560" t="s">
        <v>3858</v>
      </c>
      <c r="N560">
        <v>338.96699999999998</v>
      </c>
      <c r="O560" t="s">
        <v>3859</v>
      </c>
      <c r="P560" t="s">
        <v>18</v>
      </c>
    </row>
    <row r="561" spans="1:16" x14ac:dyDescent="0.35">
      <c r="A561">
        <v>6404634</v>
      </c>
      <c r="B561" t="s">
        <v>3860</v>
      </c>
      <c r="C561" t="str">
        <f>"9781800439733"</f>
        <v>9781800439733</v>
      </c>
      <c r="D561" t="str">
        <f>"9781800439740"</f>
        <v>9781800439740</v>
      </c>
      <c r="E561" t="s">
        <v>187</v>
      </c>
      <c r="F561" t="s">
        <v>187</v>
      </c>
      <c r="G561" s="1">
        <v>44169</v>
      </c>
      <c r="H561" s="1">
        <v>44158</v>
      </c>
      <c r="K561" t="s">
        <v>3861</v>
      </c>
      <c r="L561" t="s">
        <v>41</v>
      </c>
      <c r="M561" t="s">
        <v>2545</v>
      </c>
      <c r="N561">
        <v>337</v>
      </c>
      <c r="O561" t="s">
        <v>3862</v>
      </c>
      <c r="P561" t="s">
        <v>18</v>
      </c>
    </row>
    <row r="562" spans="1:16" x14ac:dyDescent="0.35">
      <c r="A562">
        <v>6419166</v>
      </c>
      <c r="B562" t="s">
        <v>3863</v>
      </c>
      <c r="C562" t="str">
        <f>"9780128206287"</f>
        <v>9780128206287</v>
      </c>
      <c r="D562" t="str">
        <f>"9780128209066"</f>
        <v>9780128209066</v>
      </c>
      <c r="E562" t="s">
        <v>1699</v>
      </c>
      <c r="F562" t="s">
        <v>1699</v>
      </c>
      <c r="G562" s="1">
        <v>44169</v>
      </c>
      <c r="H562" s="1">
        <v>44168</v>
      </c>
      <c r="K562" t="s">
        <v>3864</v>
      </c>
      <c r="L562" t="s">
        <v>141</v>
      </c>
      <c r="M562" t="s">
        <v>3865</v>
      </c>
      <c r="N562">
        <v>621.31259999999997</v>
      </c>
      <c r="O562" t="s">
        <v>3866</v>
      </c>
      <c r="P562" t="s">
        <v>18</v>
      </c>
    </row>
    <row r="563" spans="1:16" x14ac:dyDescent="0.35">
      <c r="A563">
        <v>6419172</v>
      </c>
      <c r="B563" t="s">
        <v>3867</v>
      </c>
      <c r="C563" t="str">
        <f>"9780128243015"</f>
        <v>9780128243015</v>
      </c>
      <c r="D563" t="str">
        <f>"9780323851879"</f>
        <v>9780323851879</v>
      </c>
      <c r="E563" t="s">
        <v>1699</v>
      </c>
      <c r="F563" t="s">
        <v>1699</v>
      </c>
      <c r="G563" s="1">
        <v>44169</v>
      </c>
      <c r="H563" s="1">
        <v>44168</v>
      </c>
      <c r="K563" t="s">
        <v>3868</v>
      </c>
      <c r="L563" t="s">
        <v>3869</v>
      </c>
      <c r="M563" t="s">
        <v>3870</v>
      </c>
      <c r="N563">
        <v>550.72</v>
      </c>
      <c r="O563" t="s">
        <v>2731</v>
      </c>
      <c r="P563" t="s">
        <v>18</v>
      </c>
    </row>
    <row r="564" spans="1:16" x14ac:dyDescent="0.35">
      <c r="A564">
        <v>6424058</v>
      </c>
      <c r="B564" t="s">
        <v>3871</v>
      </c>
      <c r="C564" t="str">
        <f>"9781527561502"</f>
        <v>9781527561502</v>
      </c>
      <c r="D564" t="str">
        <f>"9781527563292"</f>
        <v>9781527563292</v>
      </c>
      <c r="E564" t="s">
        <v>1662</v>
      </c>
      <c r="F564" t="s">
        <v>1662</v>
      </c>
      <c r="G564" s="1">
        <v>44169</v>
      </c>
      <c r="H564" s="1">
        <v>44177</v>
      </c>
      <c r="K564" t="s">
        <v>3872</v>
      </c>
      <c r="L564" t="s">
        <v>26</v>
      </c>
      <c r="M564" t="s">
        <v>3873</v>
      </c>
      <c r="N564">
        <v>338.92700000000002</v>
      </c>
      <c r="O564" t="s">
        <v>503</v>
      </c>
      <c r="P564" t="s">
        <v>18</v>
      </c>
    </row>
    <row r="565" spans="1:16" x14ac:dyDescent="0.35">
      <c r="A565">
        <v>6478178</v>
      </c>
      <c r="B565" t="s">
        <v>3874</v>
      </c>
      <c r="C565" t="str">
        <f>""</f>
        <v/>
      </c>
      <c r="D565" t="str">
        <f>"9781800718128"</f>
        <v>9781800718128</v>
      </c>
      <c r="E565" t="s">
        <v>187</v>
      </c>
      <c r="F565" t="s">
        <v>187</v>
      </c>
      <c r="G565" s="1">
        <v>44169</v>
      </c>
      <c r="H565" s="1">
        <v>44240</v>
      </c>
      <c r="J565" t="s">
        <v>3875</v>
      </c>
      <c r="K565" t="s">
        <v>3876</v>
      </c>
      <c r="L565" t="s">
        <v>38</v>
      </c>
      <c r="M565" t="s">
        <v>3877</v>
      </c>
      <c r="N565">
        <v>363.34800000000001</v>
      </c>
      <c r="O565" t="s">
        <v>330</v>
      </c>
      <c r="P565" t="s">
        <v>18</v>
      </c>
    </row>
    <row r="566" spans="1:16" x14ac:dyDescent="0.35">
      <c r="A566">
        <v>6416491</v>
      </c>
      <c r="B566" t="s">
        <v>3878</v>
      </c>
      <c r="C566" t="str">
        <f>"9781793614544"</f>
        <v>9781793614544</v>
      </c>
      <c r="D566" t="str">
        <f>"9781793614551"</f>
        <v>9781793614551</v>
      </c>
      <c r="E566" t="s">
        <v>446</v>
      </c>
      <c r="F566" t="s">
        <v>446</v>
      </c>
      <c r="G566" s="1">
        <v>44168</v>
      </c>
      <c r="H566" s="1">
        <v>44167</v>
      </c>
      <c r="J566" t="s">
        <v>211</v>
      </c>
      <c r="K566" t="s">
        <v>3879</v>
      </c>
      <c r="L566" t="s">
        <v>23</v>
      </c>
      <c r="M566" t="s">
        <v>3880</v>
      </c>
      <c r="N566">
        <v>344.54046</v>
      </c>
      <c r="O566" t="s">
        <v>3881</v>
      </c>
      <c r="P566" t="s">
        <v>18</v>
      </c>
    </row>
    <row r="567" spans="1:16" x14ac:dyDescent="0.35">
      <c r="A567">
        <v>6419153</v>
      </c>
      <c r="B567" t="s">
        <v>3882</v>
      </c>
      <c r="C567" t="str">
        <f>"9781440857522"</f>
        <v>9781440857522</v>
      </c>
      <c r="D567" t="str">
        <f>"9781440857539"</f>
        <v>9781440857539</v>
      </c>
      <c r="E567" t="s">
        <v>440</v>
      </c>
      <c r="F567" t="s">
        <v>440</v>
      </c>
      <c r="G567" s="1">
        <v>44167</v>
      </c>
      <c r="H567" s="1">
        <v>44168</v>
      </c>
      <c r="K567" t="s">
        <v>3883</v>
      </c>
      <c r="L567" t="s">
        <v>233</v>
      </c>
      <c r="M567" t="s">
        <v>3884</v>
      </c>
      <c r="N567">
        <v>613.10973000000001</v>
      </c>
      <c r="O567" t="s">
        <v>3885</v>
      </c>
      <c r="P567" t="s">
        <v>18</v>
      </c>
    </row>
    <row r="568" spans="1:16" x14ac:dyDescent="0.35">
      <c r="A568">
        <v>6414261</v>
      </c>
      <c r="B568" t="s">
        <v>3886</v>
      </c>
      <c r="C568" t="str">
        <f>"9780128169049"</f>
        <v>9780128169049</v>
      </c>
      <c r="D568" t="str">
        <f>"9780128169056"</f>
        <v>9780128169056</v>
      </c>
      <c r="E568" t="s">
        <v>1699</v>
      </c>
      <c r="F568" t="s">
        <v>1699</v>
      </c>
      <c r="G568" s="1">
        <v>44166</v>
      </c>
      <c r="H568" s="1">
        <v>44165</v>
      </c>
      <c r="J568" t="s">
        <v>3887</v>
      </c>
      <c r="K568" t="s">
        <v>3888</v>
      </c>
      <c r="L568" t="s">
        <v>3889</v>
      </c>
      <c r="M568" t="s">
        <v>3890</v>
      </c>
      <c r="N568">
        <v>363.73919999999998</v>
      </c>
      <c r="O568" t="s">
        <v>3891</v>
      </c>
      <c r="P568" t="s">
        <v>18</v>
      </c>
    </row>
    <row r="569" spans="1:16" x14ac:dyDescent="0.35">
      <c r="A569">
        <v>6404639</v>
      </c>
      <c r="B569" t="s">
        <v>3892</v>
      </c>
      <c r="C569" t="str">
        <f>"9781800432697"</f>
        <v>9781800432697</v>
      </c>
      <c r="D569" t="str">
        <f>"9781800432703"</f>
        <v>9781800432703</v>
      </c>
      <c r="E569" t="s">
        <v>187</v>
      </c>
      <c r="F569" t="s">
        <v>187</v>
      </c>
      <c r="G569" s="1">
        <v>44165</v>
      </c>
      <c r="H569" s="1">
        <v>44158</v>
      </c>
      <c r="J569" t="s">
        <v>1803</v>
      </c>
      <c r="K569" t="s">
        <v>1804</v>
      </c>
      <c r="L569" t="s">
        <v>28</v>
      </c>
      <c r="M569" t="s">
        <v>1676</v>
      </c>
      <c r="N569" t="s">
        <v>54</v>
      </c>
      <c r="O569" t="s">
        <v>2272</v>
      </c>
      <c r="P569" t="s">
        <v>18</v>
      </c>
    </row>
    <row r="570" spans="1:16" x14ac:dyDescent="0.35">
      <c r="A570">
        <v>6414202</v>
      </c>
      <c r="B570" t="s">
        <v>3893</v>
      </c>
      <c r="C570" t="str">
        <f>"9780128210291"</f>
        <v>9780128210291</v>
      </c>
      <c r="D570" t="str">
        <f>"9780128210307"</f>
        <v>9780128210307</v>
      </c>
      <c r="E570" t="s">
        <v>190</v>
      </c>
      <c r="F570" t="s">
        <v>191</v>
      </c>
      <c r="G570" s="1">
        <v>44165</v>
      </c>
      <c r="H570" s="1">
        <v>44164</v>
      </c>
      <c r="K570" t="s">
        <v>3894</v>
      </c>
      <c r="L570" t="s">
        <v>418</v>
      </c>
      <c r="M570" t="s">
        <v>3895</v>
      </c>
      <c r="N570">
        <v>333.95792799999998</v>
      </c>
      <c r="O570" t="s">
        <v>3896</v>
      </c>
      <c r="P570" t="s">
        <v>18</v>
      </c>
    </row>
    <row r="571" spans="1:16" x14ac:dyDescent="0.35">
      <c r="A571">
        <v>6409704</v>
      </c>
      <c r="B571" t="s">
        <v>3897</v>
      </c>
      <c r="C571" t="str">
        <f>"9780128191484"</f>
        <v>9780128191484</v>
      </c>
      <c r="D571" t="str">
        <f>"9780128191491"</f>
        <v>9780128191491</v>
      </c>
      <c r="E571" t="s">
        <v>1699</v>
      </c>
      <c r="F571" t="s">
        <v>1699</v>
      </c>
      <c r="G571" s="1">
        <v>44162</v>
      </c>
      <c r="H571" s="1">
        <v>44162</v>
      </c>
      <c r="K571" t="s">
        <v>3898</v>
      </c>
      <c r="L571" t="s">
        <v>2577</v>
      </c>
      <c r="M571" t="s">
        <v>3899</v>
      </c>
      <c r="N571">
        <v>628.44500000000005</v>
      </c>
      <c r="O571" t="s">
        <v>3900</v>
      </c>
      <c r="P571" t="s">
        <v>18</v>
      </c>
    </row>
    <row r="572" spans="1:16" x14ac:dyDescent="0.35">
      <c r="A572">
        <v>6413924</v>
      </c>
      <c r="B572" t="s">
        <v>3901</v>
      </c>
      <c r="C572" t="str">
        <f>"9780128146750"</f>
        <v>9780128146750</v>
      </c>
      <c r="D572" t="str">
        <f>"9780128146767"</f>
        <v>9780128146767</v>
      </c>
      <c r="E572" t="s">
        <v>190</v>
      </c>
      <c r="F572" t="s">
        <v>191</v>
      </c>
      <c r="G572" s="1">
        <v>44162</v>
      </c>
      <c r="H572" s="1">
        <v>44163</v>
      </c>
      <c r="J572" t="s">
        <v>3902</v>
      </c>
      <c r="K572" t="s">
        <v>3903</v>
      </c>
      <c r="L572" t="s">
        <v>3904</v>
      </c>
      <c r="M572" t="s">
        <v>3905</v>
      </c>
      <c r="N572">
        <v>333.95922000000002</v>
      </c>
      <c r="O572" t="s">
        <v>3906</v>
      </c>
      <c r="P572" t="s">
        <v>18</v>
      </c>
    </row>
    <row r="573" spans="1:16" x14ac:dyDescent="0.35">
      <c r="A573">
        <v>6369608</v>
      </c>
      <c r="B573" t="s">
        <v>3907</v>
      </c>
      <c r="C573" t="str">
        <f>"9781350158863"</f>
        <v>9781350158863</v>
      </c>
      <c r="D573" t="str">
        <f>"9781350158894"</f>
        <v>9781350158894</v>
      </c>
      <c r="E573" t="s">
        <v>354</v>
      </c>
      <c r="F573" t="s">
        <v>355</v>
      </c>
      <c r="G573" s="1">
        <v>44161</v>
      </c>
      <c r="H573" s="1">
        <v>44113</v>
      </c>
      <c r="K573" t="s">
        <v>3908</v>
      </c>
      <c r="L573" t="s">
        <v>3909</v>
      </c>
      <c r="M573" t="s">
        <v>3910</v>
      </c>
      <c r="N573">
        <v>363.73874000000001</v>
      </c>
      <c r="O573" t="s">
        <v>3911</v>
      </c>
      <c r="P573" t="s">
        <v>18</v>
      </c>
    </row>
    <row r="574" spans="1:16" x14ac:dyDescent="0.35">
      <c r="A574">
        <v>6379893</v>
      </c>
      <c r="B574" t="s">
        <v>3912</v>
      </c>
      <c r="C574" t="str">
        <f>"9781509932900"</f>
        <v>9781509932900</v>
      </c>
      <c r="D574" t="str">
        <f>"9781509932917"</f>
        <v>9781509932917</v>
      </c>
      <c r="E574" t="s">
        <v>354</v>
      </c>
      <c r="F574" t="s">
        <v>294</v>
      </c>
      <c r="G574" s="1">
        <v>44161</v>
      </c>
      <c r="H574" s="1">
        <v>44133</v>
      </c>
      <c r="J574" t="s">
        <v>3830</v>
      </c>
      <c r="K574" t="s">
        <v>3913</v>
      </c>
      <c r="L574" t="s">
        <v>23</v>
      </c>
      <c r="M574" t="s">
        <v>3914</v>
      </c>
      <c r="N574">
        <v>346.04678999999999</v>
      </c>
      <c r="O574" t="s">
        <v>3915</v>
      </c>
      <c r="P574" t="s">
        <v>18</v>
      </c>
    </row>
    <row r="575" spans="1:16" x14ac:dyDescent="0.35">
      <c r="A575">
        <v>6396057</v>
      </c>
      <c r="B575" t="s">
        <v>3916</v>
      </c>
      <c r="C575" t="str">
        <f>"9780128217986"</f>
        <v>9780128217986</v>
      </c>
      <c r="D575" t="str">
        <f>"9780128218044"</f>
        <v>9780128218044</v>
      </c>
      <c r="E575" t="s">
        <v>1699</v>
      </c>
      <c r="F575" t="s">
        <v>1699</v>
      </c>
      <c r="G575" s="1">
        <v>44161</v>
      </c>
      <c r="H575" s="1">
        <v>44150</v>
      </c>
      <c r="K575" t="s">
        <v>3917</v>
      </c>
      <c r="L575" t="s">
        <v>41</v>
      </c>
      <c r="M575" t="s">
        <v>3918</v>
      </c>
      <c r="N575">
        <v>338.92700000000002</v>
      </c>
      <c r="O575" t="s">
        <v>503</v>
      </c>
      <c r="P575" t="s">
        <v>18</v>
      </c>
    </row>
    <row r="576" spans="1:16" x14ac:dyDescent="0.35">
      <c r="A576">
        <v>6396331</v>
      </c>
      <c r="B576" t="s">
        <v>3919</v>
      </c>
      <c r="C576" t="str">
        <f>"9781839823770"</f>
        <v>9781839823770</v>
      </c>
      <c r="D576" t="str">
        <f>"9781839823763"</f>
        <v>9781839823763</v>
      </c>
      <c r="E576" t="s">
        <v>187</v>
      </c>
      <c r="F576" t="s">
        <v>187</v>
      </c>
      <c r="G576" s="1">
        <v>44161</v>
      </c>
      <c r="H576" s="1">
        <v>44151</v>
      </c>
      <c r="J576" t="s">
        <v>2338</v>
      </c>
      <c r="K576" t="s">
        <v>3920</v>
      </c>
      <c r="L576" t="s">
        <v>41</v>
      </c>
      <c r="M576" t="s">
        <v>3699</v>
      </c>
      <c r="N576">
        <v>332.8</v>
      </c>
      <c r="O576" t="s">
        <v>3921</v>
      </c>
      <c r="P576" t="s">
        <v>18</v>
      </c>
    </row>
    <row r="577" spans="1:16" x14ac:dyDescent="0.35">
      <c r="A577">
        <v>6404825</v>
      </c>
      <c r="B577" t="s">
        <v>3922</v>
      </c>
      <c r="C577" t="str">
        <f>"9780128216569"</f>
        <v>9780128216569</v>
      </c>
      <c r="D577" t="str">
        <f>"9780128216606"</f>
        <v>9780128216606</v>
      </c>
      <c r="E577" t="s">
        <v>1699</v>
      </c>
      <c r="F577" t="s">
        <v>1699</v>
      </c>
      <c r="G577" s="1">
        <v>44161</v>
      </c>
      <c r="H577" s="1">
        <v>44158</v>
      </c>
      <c r="K577" t="s">
        <v>3923</v>
      </c>
      <c r="L577" t="s">
        <v>163</v>
      </c>
      <c r="M577" t="s">
        <v>3924</v>
      </c>
      <c r="N577">
        <v>363.73840000000001</v>
      </c>
      <c r="O577" t="s">
        <v>3925</v>
      </c>
      <c r="P577" t="s">
        <v>18</v>
      </c>
    </row>
    <row r="578" spans="1:16" x14ac:dyDescent="0.35">
      <c r="A578">
        <v>6406272</v>
      </c>
      <c r="B578" t="s">
        <v>3926</v>
      </c>
      <c r="C578" t="str">
        <f>"9780128183168"</f>
        <v>9780128183168</v>
      </c>
      <c r="D578" t="str">
        <f>"9780128183175"</f>
        <v>9780128183175</v>
      </c>
      <c r="E578" t="s">
        <v>190</v>
      </c>
      <c r="F578" t="s">
        <v>280</v>
      </c>
      <c r="G578" s="1">
        <v>44161</v>
      </c>
      <c r="H578" s="1">
        <v>44159</v>
      </c>
      <c r="J578" t="s">
        <v>486</v>
      </c>
      <c r="K578" t="s">
        <v>3927</v>
      </c>
      <c r="L578" t="s">
        <v>162</v>
      </c>
      <c r="M578" t="s">
        <v>3928</v>
      </c>
      <c r="N578">
        <v>620.11800000000005</v>
      </c>
      <c r="O578" t="s">
        <v>3929</v>
      </c>
      <c r="P578" t="s">
        <v>18</v>
      </c>
    </row>
    <row r="579" spans="1:16" x14ac:dyDescent="0.35">
      <c r="A579">
        <v>6403605</v>
      </c>
      <c r="B579" t="s">
        <v>3930</v>
      </c>
      <c r="C579" t="str">
        <f>"9780128182758"</f>
        <v>9780128182758</v>
      </c>
      <c r="D579" t="str">
        <f>"9780128182765"</f>
        <v>9780128182765</v>
      </c>
      <c r="E579" t="s">
        <v>190</v>
      </c>
      <c r="F579" t="s">
        <v>191</v>
      </c>
      <c r="G579" s="1">
        <v>44160</v>
      </c>
      <c r="H579" s="1">
        <v>44156</v>
      </c>
      <c r="K579" t="s">
        <v>3931</v>
      </c>
      <c r="L579" t="s">
        <v>118</v>
      </c>
      <c r="M579" t="s">
        <v>3932</v>
      </c>
      <c r="N579">
        <v>664.02800000000002</v>
      </c>
      <c r="O579" t="s">
        <v>3933</v>
      </c>
      <c r="P579" t="s">
        <v>18</v>
      </c>
    </row>
    <row r="580" spans="1:16" x14ac:dyDescent="0.35">
      <c r="A580">
        <v>6376252</v>
      </c>
      <c r="B580" t="s">
        <v>3934</v>
      </c>
      <c r="C580" t="str">
        <f>"9781789665314"</f>
        <v>9781789665314</v>
      </c>
      <c r="D580" t="str">
        <f>"9781789665321"</f>
        <v>9781789665321</v>
      </c>
      <c r="E580" t="s">
        <v>215</v>
      </c>
      <c r="F580" t="s">
        <v>215</v>
      </c>
      <c r="G580" s="1">
        <v>44159</v>
      </c>
      <c r="H580" s="1">
        <v>44127</v>
      </c>
      <c r="I580">
        <v>2</v>
      </c>
      <c r="K580" t="s">
        <v>3935</v>
      </c>
      <c r="L580" t="s">
        <v>28</v>
      </c>
      <c r="M580" t="s">
        <v>3936</v>
      </c>
      <c r="N580">
        <v>658.7</v>
      </c>
      <c r="O580" t="s">
        <v>3937</v>
      </c>
      <c r="P580" t="s">
        <v>18</v>
      </c>
    </row>
    <row r="581" spans="1:16" x14ac:dyDescent="0.35">
      <c r="A581">
        <v>6403612</v>
      </c>
      <c r="B581" t="s">
        <v>3938</v>
      </c>
      <c r="C581" t="str">
        <f>"9780128218860"</f>
        <v>9780128218860</v>
      </c>
      <c r="D581" t="str">
        <f>"9780128219003"</f>
        <v>9780128219003</v>
      </c>
      <c r="E581" t="s">
        <v>1699</v>
      </c>
      <c r="F581" t="s">
        <v>1699</v>
      </c>
      <c r="G581" s="1">
        <v>44159</v>
      </c>
      <c r="H581" s="1">
        <v>44156</v>
      </c>
      <c r="K581" t="s">
        <v>3939</v>
      </c>
      <c r="L581" t="s">
        <v>495</v>
      </c>
      <c r="M581" t="s">
        <v>3940</v>
      </c>
      <c r="N581">
        <v>660.29481999999996</v>
      </c>
      <c r="O581" t="s">
        <v>3941</v>
      </c>
      <c r="P581" t="s">
        <v>18</v>
      </c>
    </row>
    <row r="582" spans="1:16" x14ac:dyDescent="0.35">
      <c r="A582">
        <v>6404316</v>
      </c>
      <c r="B582" t="s">
        <v>3942</v>
      </c>
      <c r="C582" t="str">
        <f>"9780128218877"</f>
        <v>9780128218877</v>
      </c>
      <c r="D582" t="str">
        <f>"9780128219010"</f>
        <v>9780128219010</v>
      </c>
      <c r="E582" t="s">
        <v>1699</v>
      </c>
      <c r="F582" t="s">
        <v>1699</v>
      </c>
      <c r="G582" s="1">
        <v>44159</v>
      </c>
      <c r="H582" s="1">
        <v>44157</v>
      </c>
      <c r="K582" t="s">
        <v>3943</v>
      </c>
      <c r="L582" t="s">
        <v>3944</v>
      </c>
      <c r="M582" t="s">
        <v>3940</v>
      </c>
      <c r="N582">
        <v>541.39</v>
      </c>
      <c r="O582" t="s">
        <v>3945</v>
      </c>
      <c r="P582" t="s">
        <v>18</v>
      </c>
    </row>
    <row r="583" spans="1:16" x14ac:dyDescent="0.35">
      <c r="A583">
        <v>6404318</v>
      </c>
      <c r="B583" t="s">
        <v>3946</v>
      </c>
      <c r="C583" t="str">
        <f>"9780128197219"</f>
        <v>9780128197219</v>
      </c>
      <c r="D583" t="str">
        <f>"9780128226407"</f>
        <v>9780128226407</v>
      </c>
      <c r="E583" t="s">
        <v>1699</v>
      </c>
      <c r="F583" t="s">
        <v>1699</v>
      </c>
      <c r="G583" s="1">
        <v>44159</v>
      </c>
      <c r="H583" s="1">
        <v>44157</v>
      </c>
      <c r="K583" t="s">
        <v>3943</v>
      </c>
      <c r="L583" t="s">
        <v>118</v>
      </c>
      <c r="M583" t="s">
        <v>3947</v>
      </c>
      <c r="N583">
        <v>660.63</v>
      </c>
      <c r="O583" t="s">
        <v>3948</v>
      </c>
      <c r="P583" t="s">
        <v>18</v>
      </c>
    </row>
    <row r="584" spans="1:16" x14ac:dyDescent="0.35">
      <c r="A584">
        <v>6416435</v>
      </c>
      <c r="B584" t="s">
        <v>3949</v>
      </c>
      <c r="C584" t="str">
        <f>"9781786616487"</f>
        <v>9781786616487</v>
      </c>
      <c r="D584" t="str">
        <f>"9781786615497"</f>
        <v>9781786615497</v>
      </c>
      <c r="E584" t="s">
        <v>443</v>
      </c>
      <c r="F584" t="s">
        <v>443</v>
      </c>
      <c r="G584" s="1">
        <v>44159</v>
      </c>
      <c r="H584" s="1">
        <v>44167</v>
      </c>
      <c r="J584" t="s">
        <v>3950</v>
      </c>
      <c r="K584" t="s">
        <v>3951</v>
      </c>
      <c r="L584" t="s">
        <v>38</v>
      </c>
      <c r="M584" t="s">
        <v>3952</v>
      </c>
      <c r="N584">
        <v>301.45199109409998</v>
      </c>
      <c r="O584" t="s">
        <v>3953</v>
      </c>
      <c r="P584" t="s">
        <v>18</v>
      </c>
    </row>
    <row r="585" spans="1:16" x14ac:dyDescent="0.35">
      <c r="A585">
        <v>6416574</v>
      </c>
      <c r="B585" t="s">
        <v>3954</v>
      </c>
      <c r="C585" t="str">
        <f>"9781793631862"</f>
        <v>9781793631862</v>
      </c>
      <c r="D585" t="str">
        <f>"9781793631879"</f>
        <v>9781793631879</v>
      </c>
      <c r="E585" t="s">
        <v>446</v>
      </c>
      <c r="F585" t="s">
        <v>446</v>
      </c>
      <c r="G585" s="1">
        <v>44159</v>
      </c>
      <c r="H585" s="1">
        <v>44167</v>
      </c>
      <c r="J585" t="s">
        <v>211</v>
      </c>
      <c r="K585" t="s">
        <v>3955</v>
      </c>
      <c r="L585" t="s">
        <v>144</v>
      </c>
      <c r="M585" t="s">
        <v>3956</v>
      </c>
      <c r="N585">
        <v>577.22</v>
      </c>
      <c r="O585" t="s">
        <v>3957</v>
      </c>
      <c r="P585" t="s">
        <v>18</v>
      </c>
    </row>
    <row r="586" spans="1:16" x14ac:dyDescent="0.35">
      <c r="A586">
        <v>6426377</v>
      </c>
      <c r="B586" t="s">
        <v>3958</v>
      </c>
      <c r="C586" t="str">
        <f>"9781498592062"</f>
        <v>9781498592062</v>
      </c>
      <c r="D586" t="str">
        <f>"9781498592079"</f>
        <v>9781498592079</v>
      </c>
      <c r="E586" t="s">
        <v>446</v>
      </c>
      <c r="F586" t="s">
        <v>446</v>
      </c>
      <c r="G586" s="1">
        <v>44159</v>
      </c>
      <c r="H586" s="1">
        <v>44183</v>
      </c>
      <c r="K586" t="s">
        <v>3959</v>
      </c>
      <c r="L586" t="s">
        <v>257</v>
      </c>
      <c r="M586" t="s">
        <v>3960</v>
      </c>
      <c r="N586">
        <v>304.27999999999997</v>
      </c>
      <c r="O586" t="s">
        <v>3961</v>
      </c>
      <c r="P586" t="s">
        <v>18</v>
      </c>
    </row>
    <row r="587" spans="1:16" x14ac:dyDescent="0.35">
      <c r="A587">
        <v>6607787</v>
      </c>
      <c r="B587" t="s">
        <v>3962</v>
      </c>
      <c r="C587" t="str">
        <f>""</f>
        <v/>
      </c>
      <c r="D587" t="str">
        <f>"9783110628593"</f>
        <v>9783110628593</v>
      </c>
      <c r="E587" t="s">
        <v>404</v>
      </c>
      <c r="F587" t="s">
        <v>404</v>
      </c>
      <c r="G587" s="1">
        <v>44158</v>
      </c>
      <c r="H587" s="1">
        <v>44326</v>
      </c>
      <c r="J587" t="s">
        <v>3963</v>
      </c>
      <c r="K587" t="s">
        <v>3964</v>
      </c>
      <c r="L587" t="s">
        <v>28</v>
      </c>
      <c r="M587" t="s">
        <v>3965</v>
      </c>
      <c r="N587">
        <v>658.7</v>
      </c>
      <c r="O587" t="s">
        <v>298</v>
      </c>
      <c r="P587" t="s">
        <v>18</v>
      </c>
    </row>
    <row r="588" spans="1:16" x14ac:dyDescent="0.35">
      <c r="A588">
        <v>6383425</v>
      </c>
      <c r="B588" t="s">
        <v>3966</v>
      </c>
      <c r="C588" t="str">
        <f>"9781799829676"</f>
        <v>9781799829676</v>
      </c>
      <c r="D588" t="str">
        <f>"9781799829706"</f>
        <v>9781799829706</v>
      </c>
      <c r="E588" t="s">
        <v>138</v>
      </c>
      <c r="F588" t="s">
        <v>1789</v>
      </c>
      <c r="G588" s="1">
        <v>44155</v>
      </c>
      <c r="H588" s="1">
        <v>44139</v>
      </c>
      <c r="K588" t="s">
        <v>3967</v>
      </c>
      <c r="L588" t="s">
        <v>41</v>
      </c>
      <c r="M588" t="s">
        <v>3968</v>
      </c>
      <c r="N588" t="s">
        <v>3969</v>
      </c>
      <c r="O588" t="s">
        <v>2166</v>
      </c>
      <c r="P588" t="s">
        <v>18</v>
      </c>
    </row>
    <row r="589" spans="1:16" x14ac:dyDescent="0.35">
      <c r="A589">
        <v>6402015</v>
      </c>
      <c r="B589" t="s">
        <v>3970</v>
      </c>
      <c r="C589" t="str">
        <f>"9780128218839"</f>
        <v>9780128218839</v>
      </c>
      <c r="D589" t="str">
        <f>"9780128218976"</f>
        <v>9780128218976</v>
      </c>
      <c r="E589" t="s">
        <v>1699</v>
      </c>
      <c r="F589" t="s">
        <v>1699</v>
      </c>
      <c r="G589" s="1">
        <v>44155</v>
      </c>
      <c r="H589" s="1">
        <v>44154</v>
      </c>
      <c r="K589" t="s">
        <v>2203</v>
      </c>
      <c r="L589" t="s">
        <v>321</v>
      </c>
      <c r="M589" t="s">
        <v>2964</v>
      </c>
      <c r="N589">
        <v>543</v>
      </c>
      <c r="O589" t="s">
        <v>2965</v>
      </c>
      <c r="P589" t="s">
        <v>18</v>
      </c>
    </row>
    <row r="590" spans="1:16" x14ac:dyDescent="0.35">
      <c r="A590">
        <v>6402982</v>
      </c>
      <c r="B590" t="s">
        <v>3971</v>
      </c>
      <c r="C590" t="str">
        <f>"9780128213636"</f>
        <v>9780128213636</v>
      </c>
      <c r="D590" t="str">
        <f>"9780128213704"</f>
        <v>9780128213704</v>
      </c>
      <c r="E590" t="s">
        <v>190</v>
      </c>
      <c r="F590" t="s">
        <v>191</v>
      </c>
      <c r="G590" s="1">
        <v>44155</v>
      </c>
      <c r="H590" s="1">
        <v>44155</v>
      </c>
      <c r="K590" t="s">
        <v>3972</v>
      </c>
      <c r="L590" t="s">
        <v>3973</v>
      </c>
      <c r="M590" t="s">
        <v>3974</v>
      </c>
      <c r="N590">
        <v>338.19</v>
      </c>
      <c r="O590" t="s">
        <v>3371</v>
      </c>
      <c r="P590" t="s">
        <v>18</v>
      </c>
    </row>
    <row r="591" spans="1:16" x14ac:dyDescent="0.35">
      <c r="A591">
        <v>6402984</v>
      </c>
      <c r="B591" t="s">
        <v>3975</v>
      </c>
      <c r="C591" t="str">
        <f>"9780128218846"</f>
        <v>9780128218846</v>
      </c>
      <c r="D591" t="str">
        <f>"9780128218983"</f>
        <v>9780128218983</v>
      </c>
      <c r="E591" t="s">
        <v>1699</v>
      </c>
      <c r="F591" t="s">
        <v>1699</v>
      </c>
      <c r="G591" s="1">
        <v>44155</v>
      </c>
      <c r="H591" s="1">
        <v>44155</v>
      </c>
      <c r="K591" t="s">
        <v>2203</v>
      </c>
      <c r="L591" t="s">
        <v>3976</v>
      </c>
      <c r="M591" t="s">
        <v>3940</v>
      </c>
      <c r="N591">
        <v>628.5</v>
      </c>
      <c r="O591" t="s">
        <v>3977</v>
      </c>
      <c r="P591" t="s">
        <v>18</v>
      </c>
    </row>
    <row r="592" spans="1:16" x14ac:dyDescent="0.35">
      <c r="A592">
        <v>6402988</v>
      </c>
      <c r="B592" t="s">
        <v>3978</v>
      </c>
      <c r="C592" t="str">
        <f>"9780128218853"</f>
        <v>9780128218853</v>
      </c>
      <c r="D592" t="str">
        <f>"9780128218990"</f>
        <v>9780128218990</v>
      </c>
      <c r="E592" t="s">
        <v>1699</v>
      </c>
      <c r="F592" t="s">
        <v>1699</v>
      </c>
      <c r="G592" s="1">
        <v>44155</v>
      </c>
      <c r="H592" s="1">
        <v>44155</v>
      </c>
      <c r="K592" t="s">
        <v>3943</v>
      </c>
      <c r="L592" t="s">
        <v>451</v>
      </c>
      <c r="M592" t="s">
        <v>3979</v>
      </c>
      <c r="N592">
        <v>615.19002860000001</v>
      </c>
      <c r="O592" t="s">
        <v>3980</v>
      </c>
      <c r="P592" t="s">
        <v>18</v>
      </c>
    </row>
    <row r="593" spans="1:16" x14ac:dyDescent="0.35">
      <c r="A593">
        <v>6407928</v>
      </c>
      <c r="B593" t="s">
        <v>3981</v>
      </c>
      <c r="C593" t="str">
        <f>"9781839107474"</f>
        <v>9781839107474</v>
      </c>
      <c r="D593" t="str">
        <f>"9781839107481"</f>
        <v>9781839107481</v>
      </c>
      <c r="E593" t="s">
        <v>2080</v>
      </c>
      <c r="F593" t="s">
        <v>2080</v>
      </c>
      <c r="G593" s="1">
        <v>44155</v>
      </c>
      <c r="H593" s="1">
        <v>44161</v>
      </c>
      <c r="K593" t="s">
        <v>3982</v>
      </c>
      <c r="L593" t="s">
        <v>272</v>
      </c>
      <c r="M593" t="s">
        <v>3983</v>
      </c>
      <c r="N593">
        <v>330.91732000000002</v>
      </c>
      <c r="O593" t="s">
        <v>3984</v>
      </c>
      <c r="P593" t="s">
        <v>18</v>
      </c>
    </row>
    <row r="594" spans="1:16" x14ac:dyDescent="0.35">
      <c r="A594">
        <v>6407943</v>
      </c>
      <c r="B594" t="s">
        <v>3985</v>
      </c>
      <c r="C594" t="str">
        <f>"9781800376007"</f>
        <v>9781800376007</v>
      </c>
      <c r="D594" t="str">
        <f>"9781800376014"</f>
        <v>9781800376014</v>
      </c>
      <c r="E594" t="s">
        <v>2080</v>
      </c>
      <c r="F594" t="s">
        <v>2080</v>
      </c>
      <c r="G594" s="1">
        <v>44155</v>
      </c>
      <c r="H594" s="1">
        <v>44161</v>
      </c>
      <c r="K594" t="s">
        <v>3986</v>
      </c>
      <c r="L594" t="s">
        <v>26</v>
      </c>
      <c r="M594" t="s">
        <v>3987</v>
      </c>
      <c r="N594" t="s">
        <v>3988</v>
      </c>
      <c r="O594" t="s">
        <v>3989</v>
      </c>
      <c r="P594" t="s">
        <v>18</v>
      </c>
    </row>
    <row r="595" spans="1:16" x14ac:dyDescent="0.35">
      <c r="A595">
        <v>6376179</v>
      </c>
      <c r="B595" t="s">
        <v>3990</v>
      </c>
      <c r="C595" t="str">
        <f>"9780309676496"</f>
        <v>9780309676496</v>
      </c>
      <c r="D595" t="str">
        <f>"9780309676502"</f>
        <v>9780309676502</v>
      </c>
      <c r="E595" t="s">
        <v>531</v>
      </c>
      <c r="F595" t="s">
        <v>531</v>
      </c>
      <c r="G595" s="1">
        <v>44154</v>
      </c>
      <c r="H595" s="1">
        <v>44127</v>
      </c>
      <c r="I595">
        <v>1</v>
      </c>
      <c r="K595" t="s">
        <v>3991</v>
      </c>
      <c r="L595" t="s">
        <v>3992</v>
      </c>
      <c r="P595" t="s">
        <v>18</v>
      </c>
    </row>
    <row r="596" spans="1:16" x14ac:dyDescent="0.35">
      <c r="A596">
        <v>6396054</v>
      </c>
      <c r="B596" t="s">
        <v>3993</v>
      </c>
      <c r="C596" t="str">
        <f>"9780128229194"</f>
        <v>9780128229194</v>
      </c>
      <c r="D596" t="str">
        <f>"9780128230947"</f>
        <v>9780128230947</v>
      </c>
      <c r="E596" t="s">
        <v>190</v>
      </c>
      <c r="F596" t="s">
        <v>280</v>
      </c>
      <c r="G596" s="1">
        <v>44153</v>
      </c>
      <c r="H596" s="1">
        <v>44150</v>
      </c>
      <c r="K596" t="s">
        <v>3994</v>
      </c>
      <c r="L596" t="s">
        <v>3995</v>
      </c>
      <c r="M596" t="s">
        <v>3996</v>
      </c>
      <c r="N596">
        <v>632.96</v>
      </c>
      <c r="O596" t="s">
        <v>3997</v>
      </c>
      <c r="P596" t="s">
        <v>18</v>
      </c>
    </row>
    <row r="597" spans="1:16" x14ac:dyDescent="0.35">
      <c r="A597">
        <v>6403604</v>
      </c>
      <c r="B597" t="s">
        <v>3998</v>
      </c>
      <c r="C597" t="str">
        <f>"9780128191866"</f>
        <v>9780128191866</v>
      </c>
      <c r="D597" t="str">
        <f>"9780128191873"</f>
        <v>9780128191873</v>
      </c>
      <c r="E597" t="s">
        <v>190</v>
      </c>
      <c r="F597" t="s">
        <v>191</v>
      </c>
      <c r="G597" s="1">
        <v>44153</v>
      </c>
      <c r="H597" s="1">
        <v>44156</v>
      </c>
      <c r="J597" t="s">
        <v>3999</v>
      </c>
      <c r="K597" t="s">
        <v>4000</v>
      </c>
      <c r="L597" t="s">
        <v>4001</v>
      </c>
      <c r="M597" t="s">
        <v>4002</v>
      </c>
      <c r="N597">
        <v>307.76028500000001</v>
      </c>
      <c r="O597" t="s">
        <v>4003</v>
      </c>
      <c r="P597" t="s">
        <v>18</v>
      </c>
    </row>
    <row r="598" spans="1:16" x14ac:dyDescent="0.35">
      <c r="A598">
        <v>6341910</v>
      </c>
      <c r="B598" t="s">
        <v>4004</v>
      </c>
      <c r="C598" t="str">
        <f>"9781642831672"</f>
        <v>9781642831672</v>
      </c>
      <c r="D598" t="str">
        <f>"9781642831689"</f>
        <v>9781642831689</v>
      </c>
      <c r="E598" t="s">
        <v>2154</v>
      </c>
      <c r="F598" t="s">
        <v>2154</v>
      </c>
      <c r="G598" s="1">
        <v>44152</v>
      </c>
      <c r="H598" s="1">
        <v>44084</v>
      </c>
      <c r="I598">
        <v>1</v>
      </c>
      <c r="K598" t="s">
        <v>4005</v>
      </c>
      <c r="L598" t="s">
        <v>26</v>
      </c>
      <c r="N598">
        <v>338.92700000000002</v>
      </c>
      <c r="P598" t="s">
        <v>18</v>
      </c>
    </row>
    <row r="599" spans="1:16" x14ac:dyDescent="0.35">
      <c r="A599">
        <v>6380144</v>
      </c>
      <c r="B599" t="s">
        <v>4006</v>
      </c>
      <c r="C599" t="str">
        <f>"9781538120071"</f>
        <v>9781538120071</v>
      </c>
      <c r="D599" t="str">
        <f>"9781538120088"</f>
        <v>9781538120088</v>
      </c>
      <c r="E599" t="s">
        <v>443</v>
      </c>
      <c r="F599" t="s">
        <v>443</v>
      </c>
      <c r="G599" s="1">
        <v>44152</v>
      </c>
      <c r="H599" s="1">
        <v>44134</v>
      </c>
      <c r="I599">
        <v>2</v>
      </c>
      <c r="J599" t="s">
        <v>497</v>
      </c>
      <c r="K599" t="s">
        <v>4007</v>
      </c>
      <c r="L599" t="s">
        <v>105</v>
      </c>
      <c r="M599" t="s">
        <v>4008</v>
      </c>
      <c r="N599">
        <v>363.69</v>
      </c>
      <c r="O599" t="s">
        <v>4009</v>
      </c>
      <c r="P599" t="s">
        <v>18</v>
      </c>
    </row>
    <row r="600" spans="1:16" x14ac:dyDescent="0.35">
      <c r="A600">
        <v>6380189</v>
      </c>
      <c r="B600" t="s">
        <v>4010</v>
      </c>
      <c r="C600" t="str">
        <f>"9781507213858"</f>
        <v>9781507213858</v>
      </c>
      <c r="D600" t="str">
        <f>"9781507213865"</f>
        <v>9781507213865</v>
      </c>
      <c r="E600" t="s">
        <v>4011</v>
      </c>
      <c r="F600" t="s">
        <v>4011</v>
      </c>
      <c r="G600" s="1">
        <v>44152</v>
      </c>
      <c r="H600" s="1">
        <v>44134</v>
      </c>
      <c r="K600" t="s">
        <v>405</v>
      </c>
      <c r="L600" t="s">
        <v>4012</v>
      </c>
      <c r="M600" t="s">
        <v>4013</v>
      </c>
      <c r="N600">
        <v>640.28599999999994</v>
      </c>
      <c r="O600" t="s">
        <v>4014</v>
      </c>
      <c r="P600" t="s">
        <v>18</v>
      </c>
    </row>
    <row r="601" spans="1:16" x14ac:dyDescent="0.35">
      <c r="A601">
        <v>6420530</v>
      </c>
      <c r="B601" t="s">
        <v>4015</v>
      </c>
      <c r="C601" t="str">
        <f>"9789811229350"</f>
        <v>9789811229350</v>
      </c>
      <c r="D601" t="str">
        <f>"9789811228001"</f>
        <v>9789811228001</v>
      </c>
      <c r="E601" t="s">
        <v>184</v>
      </c>
      <c r="F601" t="s">
        <v>185</v>
      </c>
      <c r="G601" s="1">
        <v>44152</v>
      </c>
      <c r="H601" s="1">
        <v>44173</v>
      </c>
      <c r="J601" t="s">
        <v>4016</v>
      </c>
      <c r="K601" t="s">
        <v>4017</v>
      </c>
      <c r="L601" t="s">
        <v>30</v>
      </c>
      <c r="M601" t="s">
        <v>4018</v>
      </c>
      <c r="N601">
        <v>371.33</v>
      </c>
      <c r="O601" t="s">
        <v>4019</v>
      </c>
      <c r="P601" t="s">
        <v>18</v>
      </c>
    </row>
    <row r="602" spans="1:16" x14ac:dyDescent="0.35">
      <c r="A602">
        <v>6346648</v>
      </c>
      <c r="B602" t="s">
        <v>4020</v>
      </c>
      <c r="C602" t="str">
        <f>"9781350134393"</f>
        <v>9781350134393</v>
      </c>
      <c r="D602" t="str">
        <f>"9781350134409"</f>
        <v>9781350134409</v>
      </c>
      <c r="E602" t="s">
        <v>354</v>
      </c>
      <c r="F602" t="s">
        <v>355</v>
      </c>
      <c r="G602" s="1">
        <v>44147</v>
      </c>
      <c r="H602" s="1">
        <v>44085</v>
      </c>
      <c r="K602" t="s">
        <v>4021</v>
      </c>
      <c r="L602" t="s">
        <v>463</v>
      </c>
      <c r="M602" t="s">
        <v>4022</v>
      </c>
      <c r="N602">
        <v>193</v>
      </c>
      <c r="O602" t="s">
        <v>4023</v>
      </c>
      <c r="P602" t="s">
        <v>18</v>
      </c>
    </row>
    <row r="603" spans="1:16" x14ac:dyDescent="0.35">
      <c r="A603">
        <v>6389781</v>
      </c>
      <c r="B603" t="s">
        <v>4024</v>
      </c>
      <c r="C603" t="str">
        <f>"9789004446243"</f>
        <v>9789004446243</v>
      </c>
      <c r="D603" t="str">
        <f>"9789004446250"</f>
        <v>9789004446250</v>
      </c>
      <c r="E603" t="s">
        <v>228</v>
      </c>
      <c r="F603" t="s">
        <v>549</v>
      </c>
      <c r="G603" s="1">
        <v>44147</v>
      </c>
      <c r="H603" s="1">
        <v>44148</v>
      </c>
      <c r="I603">
        <v>1</v>
      </c>
      <c r="J603" t="s">
        <v>4025</v>
      </c>
      <c r="K603" t="s">
        <v>4026</v>
      </c>
      <c r="L603" t="s">
        <v>24</v>
      </c>
      <c r="M603" t="s">
        <v>4027</v>
      </c>
      <c r="N603">
        <v>813.6</v>
      </c>
      <c r="O603" t="s">
        <v>4028</v>
      </c>
      <c r="P603" t="s">
        <v>18</v>
      </c>
    </row>
    <row r="604" spans="1:16" x14ac:dyDescent="0.35">
      <c r="A604">
        <v>6402086</v>
      </c>
      <c r="B604" t="s">
        <v>4029</v>
      </c>
      <c r="C604" t="str">
        <f>"9781350008229"</f>
        <v>9781350008229</v>
      </c>
      <c r="D604" t="str">
        <f>"9781350008212"</f>
        <v>9781350008212</v>
      </c>
      <c r="E604" t="s">
        <v>354</v>
      </c>
      <c r="F604" t="s">
        <v>355</v>
      </c>
      <c r="G604" s="1">
        <v>44147</v>
      </c>
      <c r="H604" s="1">
        <v>44154</v>
      </c>
      <c r="K604" t="s">
        <v>4030</v>
      </c>
      <c r="L604" t="s">
        <v>210</v>
      </c>
      <c r="M604" t="s">
        <v>4031</v>
      </c>
      <c r="N604">
        <v>304.20100000000002</v>
      </c>
      <c r="O604" t="s">
        <v>4032</v>
      </c>
      <c r="P604" t="s">
        <v>18</v>
      </c>
    </row>
    <row r="605" spans="1:16" x14ac:dyDescent="0.35">
      <c r="A605">
        <v>6388639</v>
      </c>
      <c r="B605" t="s">
        <v>4033</v>
      </c>
      <c r="C605" t="str">
        <f>"9780128211878"</f>
        <v>9780128211878</v>
      </c>
      <c r="D605" t="str">
        <f>"9780128232040"</f>
        <v>9780128232040</v>
      </c>
      <c r="E605" t="s">
        <v>190</v>
      </c>
      <c r="F605" t="s">
        <v>191</v>
      </c>
      <c r="G605" s="1">
        <v>44146</v>
      </c>
      <c r="H605" s="1">
        <v>44147</v>
      </c>
      <c r="J605" t="s">
        <v>2126</v>
      </c>
      <c r="K605" t="s">
        <v>4034</v>
      </c>
      <c r="L605" t="s">
        <v>124</v>
      </c>
      <c r="M605" t="s">
        <v>4035</v>
      </c>
      <c r="N605">
        <v>610.28546779999999</v>
      </c>
      <c r="O605" t="s">
        <v>4036</v>
      </c>
      <c r="P605" t="s">
        <v>18</v>
      </c>
    </row>
    <row r="606" spans="1:16" x14ac:dyDescent="0.35">
      <c r="A606">
        <v>6388640</v>
      </c>
      <c r="B606" t="s">
        <v>4037</v>
      </c>
      <c r="C606" t="str">
        <f>"9780128175545"</f>
        <v>9780128175545</v>
      </c>
      <c r="D606" t="str">
        <f>"9780128175552"</f>
        <v>9780128175552</v>
      </c>
      <c r="E606" t="s">
        <v>190</v>
      </c>
      <c r="F606" t="s">
        <v>191</v>
      </c>
      <c r="G606" s="1">
        <v>44146</v>
      </c>
      <c r="H606" s="1">
        <v>44147</v>
      </c>
      <c r="J606" t="s">
        <v>3902</v>
      </c>
      <c r="K606" t="s">
        <v>4038</v>
      </c>
      <c r="L606" t="s">
        <v>408</v>
      </c>
      <c r="M606" t="s">
        <v>4039</v>
      </c>
      <c r="N606" t="s">
        <v>4040</v>
      </c>
      <c r="O606" t="s">
        <v>4041</v>
      </c>
      <c r="P606" t="s">
        <v>18</v>
      </c>
    </row>
    <row r="607" spans="1:16" x14ac:dyDescent="0.35">
      <c r="A607">
        <v>6388645</v>
      </c>
      <c r="B607" t="s">
        <v>4042</v>
      </c>
      <c r="C607" t="str">
        <f>"9780128197745"</f>
        <v>9780128197745</v>
      </c>
      <c r="D607" t="str">
        <f>"9780128211434"</f>
        <v>9780128211434</v>
      </c>
      <c r="E607" t="s">
        <v>190</v>
      </c>
      <c r="F607" t="s">
        <v>191</v>
      </c>
      <c r="G607" s="1">
        <v>44146</v>
      </c>
      <c r="H607" s="1">
        <v>44147</v>
      </c>
      <c r="K607" t="s">
        <v>4043</v>
      </c>
      <c r="L607" t="s">
        <v>229</v>
      </c>
      <c r="M607" t="s">
        <v>4044</v>
      </c>
      <c r="N607">
        <v>338.1</v>
      </c>
      <c r="O607" t="s">
        <v>4045</v>
      </c>
      <c r="P607" t="s">
        <v>18</v>
      </c>
    </row>
    <row r="608" spans="1:16" x14ac:dyDescent="0.35">
      <c r="A608">
        <v>6388652</v>
      </c>
      <c r="B608" t="s">
        <v>4046</v>
      </c>
      <c r="C608" t="str">
        <f>"9780128181720"</f>
        <v>9780128181720</v>
      </c>
      <c r="D608" t="str">
        <f>"9780128181737"</f>
        <v>9780128181737</v>
      </c>
      <c r="E608" t="s">
        <v>1699</v>
      </c>
      <c r="F608" t="s">
        <v>1699</v>
      </c>
      <c r="G608" s="1">
        <v>44146</v>
      </c>
      <c r="H608" s="1">
        <v>44147</v>
      </c>
      <c r="K608" t="s">
        <v>4047</v>
      </c>
      <c r="L608" t="s">
        <v>108</v>
      </c>
      <c r="M608" t="s">
        <v>4048</v>
      </c>
      <c r="N608">
        <v>551.49</v>
      </c>
      <c r="O608" t="s">
        <v>4049</v>
      </c>
      <c r="P608" t="s">
        <v>18</v>
      </c>
    </row>
    <row r="609" spans="1:16" x14ac:dyDescent="0.35">
      <c r="A609">
        <v>6407963</v>
      </c>
      <c r="B609" t="s">
        <v>4050</v>
      </c>
      <c r="C609" t="str">
        <f>"9781788119627"</f>
        <v>9781788119627</v>
      </c>
      <c r="D609" t="str">
        <f>"9781788119634"</f>
        <v>9781788119634</v>
      </c>
      <c r="E609" t="s">
        <v>2080</v>
      </c>
      <c r="F609" t="s">
        <v>2080</v>
      </c>
      <c r="G609" s="1">
        <v>44145</v>
      </c>
      <c r="H609" s="1">
        <v>44161</v>
      </c>
      <c r="J609" t="s">
        <v>4051</v>
      </c>
      <c r="K609" t="s">
        <v>4052</v>
      </c>
      <c r="L609" t="s">
        <v>23</v>
      </c>
      <c r="M609" t="s">
        <v>4053</v>
      </c>
      <c r="N609">
        <v>344.04599999999999</v>
      </c>
      <c r="O609" t="s">
        <v>3733</v>
      </c>
      <c r="P609" t="s">
        <v>18</v>
      </c>
    </row>
    <row r="610" spans="1:16" x14ac:dyDescent="0.35">
      <c r="A610">
        <v>6377802</v>
      </c>
      <c r="B610" t="s">
        <v>4054</v>
      </c>
      <c r="C610" t="str">
        <f>"9781789739824"</f>
        <v>9781789739824</v>
      </c>
      <c r="D610" t="str">
        <f>"9781789739831"</f>
        <v>9781789739831</v>
      </c>
      <c r="E610" t="s">
        <v>187</v>
      </c>
      <c r="F610" t="s">
        <v>187</v>
      </c>
      <c r="G610" s="1">
        <v>44144</v>
      </c>
      <c r="H610" s="1">
        <v>44130</v>
      </c>
      <c r="K610" t="s">
        <v>4055</v>
      </c>
      <c r="L610" t="s">
        <v>26</v>
      </c>
      <c r="M610" t="s">
        <v>252</v>
      </c>
      <c r="N610">
        <v>337</v>
      </c>
      <c r="O610" t="s">
        <v>4056</v>
      </c>
      <c r="P610" t="s">
        <v>18</v>
      </c>
    </row>
    <row r="611" spans="1:16" x14ac:dyDescent="0.35">
      <c r="A611">
        <v>6388656</v>
      </c>
      <c r="B611" t="s">
        <v>4057</v>
      </c>
      <c r="C611" t="str">
        <f>"9780128224199"</f>
        <v>9780128224199</v>
      </c>
      <c r="D611" t="str">
        <f>"9780128224137"</f>
        <v>9780128224137</v>
      </c>
      <c r="E611" t="s">
        <v>1699</v>
      </c>
      <c r="F611" t="s">
        <v>1699</v>
      </c>
      <c r="G611" s="1">
        <v>44141</v>
      </c>
      <c r="H611" s="1">
        <v>44147</v>
      </c>
      <c r="K611" t="s">
        <v>4058</v>
      </c>
      <c r="L611" t="s">
        <v>26</v>
      </c>
      <c r="M611" t="s">
        <v>4059</v>
      </c>
      <c r="N611">
        <v>338.92700000000002</v>
      </c>
      <c r="O611" t="s">
        <v>4060</v>
      </c>
      <c r="P611" t="s">
        <v>18</v>
      </c>
    </row>
    <row r="612" spans="1:16" x14ac:dyDescent="0.35">
      <c r="A612">
        <v>6407950</v>
      </c>
      <c r="B612" t="s">
        <v>4061</v>
      </c>
      <c r="C612" t="str">
        <f>"9781788119412"</f>
        <v>9781788119412</v>
      </c>
      <c r="D612" t="str">
        <f>"9781788119429"</f>
        <v>9781788119429</v>
      </c>
      <c r="E612" t="s">
        <v>2080</v>
      </c>
      <c r="F612" t="s">
        <v>2080</v>
      </c>
      <c r="G612" s="1">
        <v>44141</v>
      </c>
      <c r="H612" s="1">
        <v>44161</v>
      </c>
      <c r="K612" t="s">
        <v>4062</v>
      </c>
      <c r="L612" t="s">
        <v>26</v>
      </c>
      <c r="M612" t="s">
        <v>4063</v>
      </c>
      <c r="N612">
        <v>338.92700000000002</v>
      </c>
      <c r="O612" t="s">
        <v>503</v>
      </c>
      <c r="P612" t="s">
        <v>18</v>
      </c>
    </row>
    <row r="613" spans="1:16" x14ac:dyDescent="0.35">
      <c r="A613">
        <v>6320023</v>
      </c>
      <c r="B613" t="s">
        <v>4064</v>
      </c>
      <c r="C613" t="str">
        <f>"9781642830477"</f>
        <v>9781642830477</v>
      </c>
      <c r="D613" t="str">
        <f>"9781642830484"</f>
        <v>9781642830484</v>
      </c>
      <c r="E613" t="s">
        <v>2154</v>
      </c>
      <c r="F613" t="s">
        <v>2154</v>
      </c>
      <c r="G613" s="1">
        <v>44140</v>
      </c>
      <c r="H613" s="1">
        <v>44071</v>
      </c>
      <c r="I613">
        <v>1</v>
      </c>
      <c r="K613" t="s">
        <v>4065</v>
      </c>
      <c r="L613" t="s">
        <v>4066</v>
      </c>
      <c r="P613" t="s">
        <v>18</v>
      </c>
    </row>
    <row r="614" spans="1:16" x14ac:dyDescent="0.35">
      <c r="A614">
        <v>6377812</v>
      </c>
      <c r="B614" t="s">
        <v>4067</v>
      </c>
      <c r="C614" t="str">
        <f>"9780128219256"</f>
        <v>9780128219256</v>
      </c>
      <c r="D614" t="str">
        <f>"9780128219263"</f>
        <v>9780128219263</v>
      </c>
      <c r="E614" t="s">
        <v>190</v>
      </c>
      <c r="F614" t="s">
        <v>191</v>
      </c>
      <c r="G614" s="1">
        <v>44140</v>
      </c>
      <c r="H614" s="1">
        <v>44130</v>
      </c>
      <c r="K614" t="s">
        <v>3365</v>
      </c>
      <c r="L614" t="s">
        <v>76</v>
      </c>
      <c r="M614" t="s">
        <v>3366</v>
      </c>
      <c r="N614">
        <v>660.62</v>
      </c>
      <c r="O614" t="s">
        <v>4068</v>
      </c>
      <c r="P614" t="s">
        <v>18</v>
      </c>
    </row>
    <row r="615" spans="1:16" x14ac:dyDescent="0.35">
      <c r="A615">
        <v>6382171</v>
      </c>
      <c r="B615" t="s">
        <v>4069</v>
      </c>
      <c r="C615" t="str">
        <f>"9780128217269"</f>
        <v>9780128217269</v>
      </c>
      <c r="D615" t="str">
        <f>"9780128218716"</f>
        <v>9780128218716</v>
      </c>
      <c r="E615" t="s">
        <v>190</v>
      </c>
      <c r="F615" t="s">
        <v>191</v>
      </c>
      <c r="G615" s="1">
        <v>44140</v>
      </c>
      <c r="H615" s="1">
        <v>44136</v>
      </c>
      <c r="K615" t="s">
        <v>4070</v>
      </c>
      <c r="L615" t="s">
        <v>142</v>
      </c>
      <c r="M615" t="s">
        <v>4071</v>
      </c>
      <c r="N615">
        <v>621.04200000000003</v>
      </c>
      <c r="O615" t="s">
        <v>481</v>
      </c>
      <c r="P615" t="s">
        <v>18</v>
      </c>
    </row>
    <row r="616" spans="1:16" x14ac:dyDescent="0.35">
      <c r="A616">
        <v>6379969</v>
      </c>
      <c r="B616" t="s">
        <v>4072</v>
      </c>
      <c r="C616" t="str">
        <f>"9781536186024"</f>
        <v>9781536186024</v>
      </c>
      <c r="D616" t="str">
        <f>"9781536186673"</f>
        <v>9781536186673</v>
      </c>
      <c r="E616" t="s">
        <v>1689</v>
      </c>
      <c r="F616" t="s">
        <v>1689</v>
      </c>
      <c r="G616" s="1">
        <v>44139</v>
      </c>
      <c r="H616" s="1">
        <v>44263</v>
      </c>
      <c r="I616">
        <v>1</v>
      </c>
      <c r="J616" t="s">
        <v>3854</v>
      </c>
      <c r="K616" t="s">
        <v>4073</v>
      </c>
      <c r="L616" t="s">
        <v>28</v>
      </c>
      <c r="P616" t="s">
        <v>18</v>
      </c>
    </row>
    <row r="617" spans="1:16" x14ac:dyDescent="0.35">
      <c r="A617">
        <v>6381870</v>
      </c>
      <c r="B617" t="s">
        <v>4074</v>
      </c>
      <c r="C617" t="str">
        <f>"9780128200629"</f>
        <v>9780128200629</v>
      </c>
      <c r="D617" t="str">
        <f>"9780128200636"</f>
        <v>9780128200636</v>
      </c>
      <c r="E617" t="s">
        <v>190</v>
      </c>
      <c r="F617" t="s">
        <v>282</v>
      </c>
      <c r="G617" s="1">
        <v>44139</v>
      </c>
      <c r="H617" s="1">
        <v>44135</v>
      </c>
      <c r="K617" t="s">
        <v>4075</v>
      </c>
      <c r="L617" t="s">
        <v>398</v>
      </c>
      <c r="M617" t="s">
        <v>4076</v>
      </c>
      <c r="N617">
        <v>720.47</v>
      </c>
      <c r="O617" t="s">
        <v>4077</v>
      </c>
      <c r="P617" t="s">
        <v>18</v>
      </c>
    </row>
    <row r="618" spans="1:16" x14ac:dyDescent="0.35">
      <c r="A618">
        <v>6370200</v>
      </c>
      <c r="B618" t="s">
        <v>4078</v>
      </c>
      <c r="C618" t="str">
        <f>"9781789208931"</f>
        <v>9781789208931</v>
      </c>
      <c r="D618" t="str">
        <f>"9781789208948"</f>
        <v>9781789208948</v>
      </c>
      <c r="E618" t="s">
        <v>447</v>
      </c>
      <c r="F618" t="s">
        <v>447</v>
      </c>
      <c r="G618" s="1">
        <v>44136</v>
      </c>
      <c r="H618" s="1">
        <v>44114</v>
      </c>
      <c r="I618">
        <v>1</v>
      </c>
      <c r="J618" t="s">
        <v>4079</v>
      </c>
      <c r="K618" t="s">
        <v>4080</v>
      </c>
      <c r="L618" t="s">
        <v>210</v>
      </c>
      <c r="M618" t="s">
        <v>4081</v>
      </c>
      <c r="N618">
        <v>304.2</v>
      </c>
      <c r="P618" t="s">
        <v>18</v>
      </c>
    </row>
    <row r="619" spans="1:16" x14ac:dyDescent="0.35">
      <c r="A619">
        <v>6372074</v>
      </c>
      <c r="B619" t="s">
        <v>4082</v>
      </c>
      <c r="C619" t="str">
        <f>"9781799844020"</f>
        <v>9781799844020</v>
      </c>
      <c r="D619" t="str">
        <f>"9781799844037"</f>
        <v>9781799844037</v>
      </c>
      <c r="E619" t="s">
        <v>138</v>
      </c>
      <c r="F619" t="s">
        <v>1789</v>
      </c>
      <c r="G619" s="1">
        <v>44134</v>
      </c>
      <c r="H619" s="1">
        <v>44119</v>
      </c>
      <c r="K619" t="s">
        <v>4083</v>
      </c>
      <c r="L619" t="s">
        <v>33</v>
      </c>
      <c r="M619" t="s">
        <v>4084</v>
      </c>
      <c r="N619">
        <v>323.60000000000002</v>
      </c>
      <c r="O619" t="s">
        <v>4085</v>
      </c>
      <c r="P619" t="s">
        <v>18</v>
      </c>
    </row>
    <row r="620" spans="1:16" x14ac:dyDescent="0.35">
      <c r="A620">
        <v>6376596</v>
      </c>
      <c r="B620" t="s">
        <v>4086</v>
      </c>
      <c r="C620" t="str">
        <f>"9781527558021"</f>
        <v>9781527558021</v>
      </c>
      <c r="D620" t="str">
        <f>"9781527560901"</f>
        <v>9781527560901</v>
      </c>
      <c r="E620" t="s">
        <v>1662</v>
      </c>
      <c r="F620" t="s">
        <v>1662</v>
      </c>
      <c r="G620" s="1">
        <v>44134</v>
      </c>
      <c r="H620" s="1">
        <v>44128</v>
      </c>
      <c r="K620" t="s">
        <v>4087</v>
      </c>
      <c r="L620" t="s">
        <v>3772</v>
      </c>
      <c r="M620" t="s">
        <v>4088</v>
      </c>
      <c r="N620">
        <v>25.171399999999998</v>
      </c>
      <c r="O620" t="s">
        <v>4089</v>
      </c>
      <c r="P620" t="s">
        <v>18</v>
      </c>
    </row>
    <row r="621" spans="1:16" x14ac:dyDescent="0.35">
      <c r="A621">
        <v>6355455</v>
      </c>
      <c r="B621" t="s">
        <v>4090</v>
      </c>
      <c r="C621" t="str">
        <f>"9781509915279"</f>
        <v>9781509915279</v>
      </c>
      <c r="D621" t="str">
        <f>"9781509915262"</f>
        <v>9781509915262</v>
      </c>
      <c r="E621" t="s">
        <v>354</v>
      </c>
      <c r="F621" t="s">
        <v>294</v>
      </c>
      <c r="G621" s="1">
        <v>44133</v>
      </c>
      <c r="H621" s="1">
        <v>44097</v>
      </c>
      <c r="K621" t="s">
        <v>4091</v>
      </c>
      <c r="L621" t="s">
        <v>23</v>
      </c>
      <c r="M621" t="s">
        <v>4092</v>
      </c>
      <c r="N621">
        <v>344.04599999999999</v>
      </c>
      <c r="O621" t="s">
        <v>3733</v>
      </c>
      <c r="P621" t="s">
        <v>18</v>
      </c>
    </row>
    <row r="622" spans="1:16" x14ac:dyDescent="0.35">
      <c r="A622">
        <v>6378498</v>
      </c>
      <c r="B622" t="s">
        <v>4093</v>
      </c>
      <c r="C622" t="str">
        <f>"9780128095829"</f>
        <v>9780128095829</v>
      </c>
      <c r="D622" t="str">
        <f>"9780081010570"</f>
        <v>9780081010570</v>
      </c>
      <c r="E622" t="s">
        <v>190</v>
      </c>
      <c r="F622" t="s">
        <v>282</v>
      </c>
      <c r="G622" s="1">
        <v>44133</v>
      </c>
      <c r="H622" s="1">
        <v>44132</v>
      </c>
      <c r="K622" t="s">
        <v>4094</v>
      </c>
      <c r="L622" t="s">
        <v>31</v>
      </c>
      <c r="M622" t="s">
        <v>4095</v>
      </c>
      <c r="N622">
        <v>363.73</v>
      </c>
      <c r="O622" t="s">
        <v>4096</v>
      </c>
      <c r="P622" t="s">
        <v>18</v>
      </c>
    </row>
    <row r="623" spans="1:16" x14ac:dyDescent="0.35">
      <c r="A623">
        <v>6417772</v>
      </c>
      <c r="B623" t="s">
        <v>4097</v>
      </c>
      <c r="C623" t="str">
        <f>"9781786998071"</f>
        <v>9781786998071</v>
      </c>
      <c r="D623" t="str">
        <f>"9781786998118"</f>
        <v>9781786998118</v>
      </c>
      <c r="E623" t="s">
        <v>392</v>
      </c>
      <c r="F623" t="s">
        <v>393</v>
      </c>
      <c r="G623" s="1">
        <v>44133</v>
      </c>
      <c r="H623" s="1">
        <v>44168</v>
      </c>
      <c r="I623">
        <v>1</v>
      </c>
      <c r="J623" t="s">
        <v>4098</v>
      </c>
      <c r="K623" t="s">
        <v>4099</v>
      </c>
      <c r="L623" t="s">
        <v>41</v>
      </c>
      <c r="M623" t="s">
        <v>4100</v>
      </c>
      <c r="N623">
        <v>336</v>
      </c>
      <c r="O623" t="s">
        <v>4101</v>
      </c>
      <c r="P623" t="s">
        <v>18</v>
      </c>
    </row>
    <row r="624" spans="1:16" x14ac:dyDescent="0.35">
      <c r="A624">
        <v>6379704</v>
      </c>
      <c r="B624" t="s">
        <v>4102</v>
      </c>
      <c r="C624" t="str">
        <f>"9781440865268"</f>
        <v>9781440865268</v>
      </c>
      <c r="D624" t="str">
        <f>"9781440865275"</f>
        <v>9781440865275</v>
      </c>
      <c r="E624" t="s">
        <v>440</v>
      </c>
      <c r="F624" t="s">
        <v>441</v>
      </c>
      <c r="G624" s="1">
        <v>44131</v>
      </c>
      <c r="H624" s="1">
        <v>44133</v>
      </c>
      <c r="I624">
        <v>2</v>
      </c>
      <c r="K624" t="s">
        <v>4103</v>
      </c>
      <c r="L624" t="s">
        <v>124</v>
      </c>
      <c r="M624" t="s">
        <v>4104</v>
      </c>
      <c r="N624">
        <v>616.98030000000006</v>
      </c>
      <c r="O624" t="s">
        <v>4105</v>
      </c>
      <c r="P624" t="s">
        <v>18</v>
      </c>
    </row>
    <row r="625" spans="1:16" x14ac:dyDescent="0.35">
      <c r="A625">
        <v>6539052</v>
      </c>
      <c r="B625" t="s">
        <v>4106</v>
      </c>
      <c r="C625" t="str">
        <f>"9783506702876"</f>
        <v>9783506702876</v>
      </c>
      <c r="D625" t="str">
        <f>"9783657702879"</f>
        <v>9783657702879</v>
      </c>
      <c r="E625" t="s">
        <v>228</v>
      </c>
      <c r="F625" t="s">
        <v>4107</v>
      </c>
      <c r="G625" s="1">
        <v>44130</v>
      </c>
      <c r="H625" s="1">
        <v>44295</v>
      </c>
      <c r="I625">
        <v>1</v>
      </c>
      <c r="J625" t="s">
        <v>4108</v>
      </c>
      <c r="K625" t="s">
        <v>4109</v>
      </c>
      <c r="L625" t="s">
        <v>22</v>
      </c>
      <c r="P625" t="s">
        <v>18</v>
      </c>
    </row>
    <row r="626" spans="1:16" x14ac:dyDescent="0.35">
      <c r="A626">
        <v>6360391</v>
      </c>
      <c r="B626" t="s">
        <v>4110</v>
      </c>
      <c r="C626" t="str">
        <f>"9781799849155"</f>
        <v>9781799849155</v>
      </c>
      <c r="D626" t="str">
        <f>"9781799849179"</f>
        <v>9781799849179</v>
      </c>
      <c r="E626" t="s">
        <v>138</v>
      </c>
      <c r="F626" t="s">
        <v>1764</v>
      </c>
      <c r="G626" s="1">
        <v>44127</v>
      </c>
      <c r="H626" s="1">
        <v>44105</v>
      </c>
      <c r="K626" t="s">
        <v>4111</v>
      </c>
      <c r="L626" t="s">
        <v>26</v>
      </c>
      <c r="M626" t="s">
        <v>4112</v>
      </c>
      <c r="N626" t="s">
        <v>128</v>
      </c>
      <c r="O626" t="s">
        <v>481</v>
      </c>
      <c r="P626" t="s">
        <v>18</v>
      </c>
    </row>
    <row r="627" spans="1:16" x14ac:dyDescent="0.35">
      <c r="A627">
        <v>6383447</v>
      </c>
      <c r="B627" t="s">
        <v>4113</v>
      </c>
      <c r="C627" t="str">
        <f>"9780128177426"</f>
        <v>9780128177426</v>
      </c>
      <c r="D627" t="str">
        <f>"9780128177433"</f>
        <v>9780128177433</v>
      </c>
      <c r="E627" t="s">
        <v>1699</v>
      </c>
      <c r="F627" t="s">
        <v>1699</v>
      </c>
      <c r="G627" s="1">
        <v>44127</v>
      </c>
      <c r="H627" s="1">
        <v>44139</v>
      </c>
      <c r="J627" t="s">
        <v>1737</v>
      </c>
      <c r="K627" t="s">
        <v>4114</v>
      </c>
      <c r="L627" t="s">
        <v>113</v>
      </c>
      <c r="M627" t="s">
        <v>4115</v>
      </c>
      <c r="N627">
        <v>628.16200000000003</v>
      </c>
      <c r="O627" t="s">
        <v>4116</v>
      </c>
      <c r="P627" t="s">
        <v>18</v>
      </c>
    </row>
    <row r="628" spans="1:16" x14ac:dyDescent="0.35">
      <c r="A628">
        <v>6401686</v>
      </c>
      <c r="B628" t="s">
        <v>4117</v>
      </c>
      <c r="C628" t="str">
        <f>"9781786348692"</f>
        <v>9781786348692</v>
      </c>
      <c r="D628" t="str">
        <f>"9781786348708"</f>
        <v>9781786348708</v>
      </c>
      <c r="E628" t="s">
        <v>184</v>
      </c>
      <c r="F628" t="s">
        <v>2401</v>
      </c>
      <c r="G628" s="1">
        <v>44127</v>
      </c>
      <c r="H628" s="1">
        <v>44154</v>
      </c>
      <c r="J628" t="s">
        <v>4118</v>
      </c>
      <c r="K628" t="s">
        <v>4119</v>
      </c>
      <c r="L628" t="s">
        <v>118</v>
      </c>
      <c r="M628" t="s">
        <v>4120</v>
      </c>
      <c r="N628">
        <v>660.02859999999998</v>
      </c>
      <c r="O628" t="s">
        <v>4121</v>
      </c>
      <c r="P628" t="s">
        <v>18</v>
      </c>
    </row>
    <row r="629" spans="1:16" x14ac:dyDescent="0.35">
      <c r="A629">
        <v>6374140</v>
      </c>
      <c r="B629" t="s">
        <v>4122</v>
      </c>
      <c r="C629" t="str">
        <f>"9780128164105"</f>
        <v>9780128164105</v>
      </c>
      <c r="D629" t="str">
        <f>"9780128164112"</f>
        <v>9780128164112</v>
      </c>
      <c r="E629" t="s">
        <v>190</v>
      </c>
      <c r="F629" t="s">
        <v>280</v>
      </c>
      <c r="G629" s="1">
        <v>44126</v>
      </c>
      <c r="H629" s="1">
        <v>44124</v>
      </c>
      <c r="K629" t="s">
        <v>4123</v>
      </c>
      <c r="L629" t="s">
        <v>364</v>
      </c>
      <c r="M629" t="s">
        <v>4124</v>
      </c>
      <c r="N629">
        <v>333.76139999999998</v>
      </c>
      <c r="O629" t="s">
        <v>4125</v>
      </c>
      <c r="P629" t="s">
        <v>18</v>
      </c>
    </row>
    <row r="630" spans="1:16" x14ac:dyDescent="0.35">
      <c r="A630">
        <v>6370618</v>
      </c>
      <c r="B630" t="s">
        <v>4126</v>
      </c>
      <c r="C630" t="str">
        <f>"9781800431522"</f>
        <v>9781800431522</v>
      </c>
      <c r="D630" t="str">
        <f>"9781800431539"</f>
        <v>9781800431539</v>
      </c>
      <c r="E630" t="s">
        <v>187</v>
      </c>
      <c r="F630" t="s">
        <v>187</v>
      </c>
      <c r="G630" s="1">
        <v>44125</v>
      </c>
      <c r="H630" s="1">
        <v>44116</v>
      </c>
      <c r="J630" t="s">
        <v>1803</v>
      </c>
      <c r="K630" t="s">
        <v>1906</v>
      </c>
      <c r="L630" t="s">
        <v>28</v>
      </c>
      <c r="M630" t="s">
        <v>1676</v>
      </c>
      <c r="N630">
        <v>658.4</v>
      </c>
      <c r="O630" t="s">
        <v>4127</v>
      </c>
      <c r="P630" t="s">
        <v>18</v>
      </c>
    </row>
    <row r="631" spans="1:16" x14ac:dyDescent="0.35">
      <c r="A631">
        <v>6360549</v>
      </c>
      <c r="B631" t="s">
        <v>4128</v>
      </c>
      <c r="C631" t="str">
        <f>"9781789241600"</f>
        <v>9781789241600</v>
      </c>
      <c r="D631" t="str">
        <f>"9781789241624"</f>
        <v>9781789241624</v>
      </c>
      <c r="E631" t="s">
        <v>333</v>
      </c>
      <c r="F631" t="s">
        <v>333</v>
      </c>
      <c r="G631" s="1">
        <v>44124</v>
      </c>
      <c r="H631" s="1">
        <v>44105</v>
      </c>
      <c r="J631" t="s">
        <v>4129</v>
      </c>
      <c r="K631" t="s">
        <v>4130</v>
      </c>
      <c r="L631" t="s">
        <v>287</v>
      </c>
      <c r="M631" t="s">
        <v>4131</v>
      </c>
      <c r="N631">
        <v>338.47910000000002</v>
      </c>
      <c r="O631" t="s">
        <v>4132</v>
      </c>
      <c r="P631" t="s">
        <v>18</v>
      </c>
    </row>
    <row r="632" spans="1:16" x14ac:dyDescent="0.35">
      <c r="A632">
        <v>6372046</v>
      </c>
      <c r="B632" t="s">
        <v>4133</v>
      </c>
      <c r="C632" t="str">
        <f>"9780128205242"</f>
        <v>9780128205242</v>
      </c>
      <c r="D632" t="str">
        <f>"9780128205259"</f>
        <v>9780128205259</v>
      </c>
      <c r="E632" t="s">
        <v>1699</v>
      </c>
      <c r="F632" t="s">
        <v>1699</v>
      </c>
      <c r="G632" s="1">
        <v>44124</v>
      </c>
      <c r="H632" s="1">
        <v>44119</v>
      </c>
      <c r="K632" t="s">
        <v>4134</v>
      </c>
      <c r="L632" t="s">
        <v>113</v>
      </c>
      <c r="M632" t="s">
        <v>4135</v>
      </c>
      <c r="N632">
        <v>628.5</v>
      </c>
      <c r="O632" t="s">
        <v>3084</v>
      </c>
      <c r="P632" t="s">
        <v>18</v>
      </c>
    </row>
    <row r="633" spans="1:16" x14ac:dyDescent="0.35">
      <c r="A633">
        <v>6373562</v>
      </c>
      <c r="B633" t="s">
        <v>2345</v>
      </c>
      <c r="C633" t="str">
        <f>"9780128207116"</f>
        <v>9780128207116</v>
      </c>
      <c r="D633" t="str">
        <f>"9780128207123"</f>
        <v>9780128207123</v>
      </c>
      <c r="E633" t="s">
        <v>190</v>
      </c>
      <c r="F633" t="s">
        <v>191</v>
      </c>
      <c r="G633" s="1">
        <v>44124</v>
      </c>
      <c r="H633" s="1">
        <v>44122</v>
      </c>
      <c r="J633" t="s">
        <v>291</v>
      </c>
      <c r="K633" t="s">
        <v>2346</v>
      </c>
      <c r="L633" t="s">
        <v>41</v>
      </c>
      <c r="M633" t="s">
        <v>4136</v>
      </c>
      <c r="N633">
        <v>338.19</v>
      </c>
      <c r="O633" t="s">
        <v>3641</v>
      </c>
      <c r="P633" t="s">
        <v>18</v>
      </c>
    </row>
    <row r="634" spans="1:16" x14ac:dyDescent="0.35">
      <c r="A634">
        <v>6353601</v>
      </c>
      <c r="B634" t="s">
        <v>4137</v>
      </c>
      <c r="C634" t="str">
        <f>"9783035715828"</f>
        <v>9783035715828</v>
      </c>
      <c r="D634" t="str">
        <f>"9783035735826"</f>
        <v>9783035735826</v>
      </c>
      <c r="E634" t="s">
        <v>1649</v>
      </c>
      <c r="F634" t="s">
        <v>1649</v>
      </c>
      <c r="G634" s="1">
        <v>44120</v>
      </c>
      <c r="H634" s="1">
        <v>44095</v>
      </c>
      <c r="I634">
        <v>1</v>
      </c>
      <c r="J634" t="s">
        <v>1938</v>
      </c>
      <c r="K634" t="s">
        <v>4138</v>
      </c>
      <c r="L634" t="s">
        <v>4139</v>
      </c>
      <c r="P634" t="s">
        <v>18</v>
      </c>
    </row>
    <row r="635" spans="1:16" x14ac:dyDescent="0.35">
      <c r="A635">
        <v>6376120</v>
      </c>
      <c r="B635" t="s">
        <v>4140</v>
      </c>
      <c r="C635" t="str">
        <f>"9781799850007"</f>
        <v>9781799850007</v>
      </c>
      <c r="D635" t="str">
        <f>"9781799850014"</f>
        <v>9781799850014</v>
      </c>
      <c r="E635" t="s">
        <v>138</v>
      </c>
      <c r="F635" t="s">
        <v>1764</v>
      </c>
      <c r="G635" s="1">
        <v>44120</v>
      </c>
      <c r="H635" s="1">
        <v>44127</v>
      </c>
      <c r="K635" t="s">
        <v>4141</v>
      </c>
      <c r="L635" t="s">
        <v>168</v>
      </c>
      <c r="M635" t="s">
        <v>4142</v>
      </c>
      <c r="N635">
        <v>631</v>
      </c>
      <c r="O635" t="s">
        <v>4143</v>
      </c>
      <c r="P635" t="s">
        <v>18</v>
      </c>
    </row>
    <row r="636" spans="1:16" x14ac:dyDescent="0.35">
      <c r="A636">
        <v>6304276</v>
      </c>
      <c r="B636" t="s">
        <v>4144</v>
      </c>
      <c r="C636" t="str">
        <f>"9781350083790"</f>
        <v>9781350083790</v>
      </c>
      <c r="D636" t="str">
        <f>"9781350083806"</f>
        <v>9781350083806</v>
      </c>
      <c r="E636" t="s">
        <v>354</v>
      </c>
      <c r="F636" t="s">
        <v>355</v>
      </c>
      <c r="G636" s="1">
        <v>44119</v>
      </c>
      <c r="H636" s="1">
        <v>44059</v>
      </c>
      <c r="J636" t="s">
        <v>4145</v>
      </c>
      <c r="K636" t="s">
        <v>4146</v>
      </c>
      <c r="L636" t="s">
        <v>105</v>
      </c>
      <c r="M636" t="s">
        <v>4147</v>
      </c>
      <c r="N636">
        <v>363.70071000000002</v>
      </c>
      <c r="O636" t="s">
        <v>4148</v>
      </c>
      <c r="P636" t="s">
        <v>18</v>
      </c>
    </row>
    <row r="637" spans="1:16" x14ac:dyDescent="0.35">
      <c r="A637">
        <v>6372323</v>
      </c>
      <c r="B637" t="s">
        <v>4149</v>
      </c>
      <c r="C637" t="str">
        <f>"9780128195550"</f>
        <v>9780128195550</v>
      </c>
      <c r="D637" t="str">
        <f>"9780128226148"</f>
        <v>9780128226148</v>
      </c>
      <c r="E637" t="s">
        <v>190</v>
      </c>
      <c r="F637" t="s">
        <v>191</v>
      </c>
      <c r="G637" s="1">
        <v>44119</v>
      </c>
      <c r="H637" s="1">
        <v>44120</v>
      </c>
      <c r="K637" t="s">
        <v>4150</v>
      </c>
      <c r="L637" t="s">
        <v>168</v>
      </c>
      <c r="M637" t="s">
        <v>4151</v>
      </c>
      <c r="N637">
        <v>631.79999999999995</v>
      </c>
      <c r="O637" t="s">
        <v>4152</v>
      </c>
      <c r="P637" t="s">
        <v>18</v>
      </c>
    </row>
    <row r="638" spans="1:16" x14ac:dyDescent="0.35">
      <c r="A638">
        <v>6386509</v>
      </c>
      <c r="B638" t="s">
        <v>4153</v>
      </c>
      <c r="C638" t="str">
        <f>"9789086863471"</f>
        <v>9789086863471</v>
      </c>
      <c r="D638" t="str">
        <f>"9789086868988"</f>
        <v>9789086868988</v>
      </c>
      <c r="E638" t="s">
        <v>2565</v>
      </c>
      <c r="F638" t="s">
        <v>2565</v>
      </c>
      <c r="G638" s="1">
        <v>44118</v>
      </c>
      <c r="H638" s="1">
        <v>44145</v>
      </c>
      <c r="I638">
        <v>1</v>
      </c>
      <c r="K638" t="s">
        <v>4154</v>
      </c>
      <c r="L638" t="s">
        <v>4155</v>
      </c>
      <c r="M638" t="s">
        <v>4156</v>
      </c>
      <c r="N638">
        <v>338.1</v>
      </c>
      <c r="O638" t="s">
        <v>4157</v>
      </c>
      <c r="P638" t="s">
        <v>18</v>
      </c>
    </row>
    <row r="639" spans="1:16" x14ac:dyDescent="0.35">
      <c r="A639">
        <v>6361852</v>
      </c>
      <c r="B639" t="s">
        <v>4158</v>
      </c>
      <c r="C639" t="str">
        <f>"9781538130339"</f>
        <v>9781538130339</v>
      </c>
      <c r="D639" t="str">
        <f>"9781538130346"</f>
        <v>9781538130346</v>
      </c>
      <c r="E639" t="s">
        <v>443</v>
      </c>
      <c r="F639" t="s">
        <v>443</v>
      </c>
      <c r="G639" s="1">
        <v>44116</v>
      </c>
      <c r="H639" s="1">
        <v>44106</v>
      </c>
      <c r="J639" t="s">
        <v>444</v>
      </c>
      <c r="K639" t="s">
        <v>4159</v>
      </c>
      <c r="L639" t="s">
        <v>31</v>
      </c>
      <c r="M639" t="s">
        <v>4160</v>
      </c>
      <c r="N639">
        <v>363.73091640000001</v>
      </c>
      <c r="O639" t="s">
        <v>4161</v>
      </c>
      <c r="P639" t="s">
        <v>18</v>
      </c>
    </row>
    <row r="640" spans="1:16" x14ac:dyDescent="0.35">
      <c r="A640">
        <v>6370351</v>
      </c>
      <c r="B640" t="s">
        <v>4162</v>
      </c>
      <c r="C640" t="str">
        <f>"9781527557154"</f>
        <v>9781527557154</v>
      </c>
      <c r="D640" t="str">
        <f>"9781527560451"</f>
        <v>9781527560451</v>
      </c>
      <c r="E640" t="s">
        <v>1662</v>
      </c>
      <c r="F640" t="s">
        <v>1662</v>
      </c>
      <c r="G640" s="1">
        <v>44116</v>
      </c>
      <c r="H640" s="1">
        <v>44114</v>
      </c>
      <c r="K640" t="s">
        <v>4163</v>
      </c>
      <c r="L640" t="s">
        <v>27</v>
      </c>
      <c r="M640" t="s">
        <v>4164</v>
      </c>
      <c r="N640">
        <v>700.10299999999995</v>
      </c>
      <c r="O640" t="s">
        <v>4165</v>
      </c>
      <c r="P640" t="s">
        <v>18</v>
      </c>
    </row>
    <row r="641" spans="1:16" x14ac:dyDescent="0.35">
      <c r="A641">
        <v>6379614</v>
      </c>
      <c r="B641" t="s">
        <v>4166</v>
      </c>
      <c r="C641" t="str">
        <f>"9781788974189"</f>
        <v>9781788974189</v>
      </c>
      <c r="D641" t="str">
        <f>"9781788974196"</f>
        <v>9781788974196</v>
      </c>
      <c r="E641" t="s">
        <v>2080</v>
      </c>
      <c r="F641" t="s">
        <v>2080</v>
      </c>
      <c r="G641" s="1">
        <v>44113</v>
      </c>
      <c r="H641" s="1">
        <v>44133</v>
      </c>
      <c r="J641" t="s">
        <v>3157</v>
      </c>
      <c r="K641" t="s">
        <v>4167</v>
      </c>
      <c r="L641" t="s">
        <v>38</v>
      </c>
      <c r="M641" t="s">
        <v>4168</v>
      </c>
      <c r="N641">
        <v>307.14</v>
      </c>
      <c r="O641" t="s">
        <v>4169</v>
      </c>
      <c r="P641" t="s">
        <v>18</v>
      </c>
    </row>
    <row r="642" spans="1:16" x14ac:dyDescent="0.35">
      <c r="A642">
        <v>6568521</v>
      </c>
      <c r="B642" t="s">
        <v>4170</v>
      </c>
      <c r="C642" t="str">
        <f>"9781544388144"</f>
        <v>9781544388144</v>
      </c>
      <c r="D642" t="str">
        <f>"9781071822296"</f>
        <v>9781071822296</v>
      </c>
      <c r="E642" t="s">
        <v>482</v>
      </c>
      <c r="F642" t="s">
        <v>482</v>
      </c>
      <c r="G642" s="1">
        <v>44112</v>
      </c>
      <c r="H642" s="1">
        <v>44314</v>
      </c>
      <c r="I642">
        <v>1</v>
      </c>
      <c r="K642" t="s">
        <v>4171</v>
      </c>
      <c r="L642" t="s">
        <v>35</v>
      </c>
      <c r="M642" t="s">
        <v>4172</v>
      </c>
      <c r="N642">
        <v>428.00709999999998</v>
      </c>
      <c r="O642" t="s">
        <v>4173</v>
      </c>
      <c r="P642" t="s">
        <v>18</v>
      </c>
    </row>
    <row r="643" spans="1:16" x14ac:dyDescent="0.35">
      <c r="A643">
        <v>6357421</v>
      </c>
      <c r="B643" t="s">
        <v>4174</v>
      </c>
      <c r="C643" t="str">
        <f>"9781527557864"</f>
        <v>9781527557864</v>
      </c>
      <c r="D643" t="str">
        <f>"9781527559257"</f>
        <v>9781527559257</v>
      </c>
      <c r="E643" t="s">
        <v>1662</v>
      </c>
      <c r="F643" t="s">
        <v>1662</v>
      </c>
      <c r="G643" s="1">
        <v>44109</v>
      </c>
      <c r="H643" s="1">
        <v>44100</v>
      </c>
      <c r="K643" t="s">
        <v>4175</v>
      </c>
      <c r="L643" t="s">
        <v>24</v>
      </c>
      <c r="M643" t="s">
        <v>4176</v>
      </c>
      <c r="N643">
        <v>809.93359999999996</v>
      </c>
      <c r="O643" t="s">
        <v>4177</v>
      </c>
      <c r="P643" t="s">
        <v>18</v>
      </c>
    </row>
    <row r="644" spans="1:16" x14ac:dyDescent="0.35">
      <c r="A644">
        <v>6371115</v>
      </c>
      <c r="B644" t="s">
        <v>4178</v>
      </c>
      <c r="C644" t="str">
        <f>"9780128213940"</f>
        <v>9780128213940</v>
      </c>
      <c r="D644" t="str">
        <f>"9780128213957"</f>
        <v>9780128213957</v>
      </c>
      <c r="E644" t="s">
        <v>190</v>
      </c>
      <c r="F644" t="s">
        <v>191</v>
      </c>
      <c r="G644" s="1">
        <v>44107</v>
      </c>
      <c r="H644" s="1">
        <v>44117</v>
      </c>
      <c r="K644" t="s">
        <v>4179</v>
      </c>
      <c r="L644" t="s">
        <v>118</v>
      </c>
      <c r="M644" t="s">
        <v>4180</v>
      </c>
      <c r="N644">
        <v>660.62</v>
      </c>
      <c r="O644" t="s">
        <v>4181</v>
      </c>
      <c r="P644" t="s">
        <v>18</v>
      </c>
    </row>
    <row r="645" spans="1:16" x14ac:dyDescent="0.35">
      <c r="A645">
        <v>6379443</v>
      </c>
      <c r="B645" t="s">
        <v>4182</v>
      </c>
      <c r="C645" t="str">
        <f>"9781536185232"</f>
        <v>9781536185232</v>
      </c>
      <c r="D645" t="str">
        <f>"9781536185546"</f>
        <v>9781536185546</v>
      </c>
      <c r="E645" t="s">
        <v>1689</v>
      </c>
      <c r="F645" t="s">
        <v>1689</v>
      </c>
      <c r="G645" s="1">
        <v>44106</v>
      </c>
      <c r="H645" s="1">
        <v>44207</v>
      </c>
      <c r="I645">
        <v>1</v>
      </c>
      <c r="J645" t="s">
        <v>4183</v>
      </c>
      <c r="K645" t="s">
        <v>4184</v>
      </c>
      <c r="L645" t="s">
        <v>33</v>
      </c>
      <c r="P645" t="s">
        <v>18</v>
      </c>
    </row>
    <row r="646" spans="1:16" x14ac:dyDescent="0.35">
      <c r="A646">
        <v>6270727</v>
      </c>
      <c r="B646" t="s">
        <v>4185</v>
      </c>
      <c r="C646" t="str">
        <f>""</f>
        <v/>
      </c>
      <c r="D646" t="str">
        <f>"9781799802297"</f>
        <v>9781799802297</v>
      </c>
      <c r="E646" t="s">
        <v>138</v>
      </c>
      <c r="F646" t="s">
        <v>138</v>
      </c>
      <c r="G646" s="1">
        <v>44105</v>
      </c>
      <c r="H646" s="1">
        <v>44041</v>
      </c>
      <c r="K646" t="s">
        <v>2410</v>
      </c>
      <c r="L646" t="s">
        <v>38</v>
      </c>
      <c r="M646" t="s">
        <v>4186</v>
      </c>
      <c r="N646">
        <v>305</v>
      </c>
      <c r="O646" t="s">
        <v>2822</v>
      </c>
      <c r="P646" t="s">
        <v>18</v>
      </c>
    </row>
    <row r="647" spans="1:16" x14ac:dyDescent="0.35">
      <c r="A647">
        <v>6335285</v>
      </c>
      <c r="B647" t="s">
        <v>4187</v>
      </c>
      <c r="C647" t="str">
        <f>"9780309499873"</f>
        <v>9780309499873</v>
      </c>
      <c r="D647" t="str">
        <f>"9780309499880"</f>
        <v>9780309499880</v>
      </c>
      <c r="E647" t="s">
        <v>531</v>
      </c>
      <c r="F647" t="s">
        <v>531</v>
      </c>
      <c r="G647" s="1">
        <v>44105</v>
      </c>
      <c r="H647" s="1">
        <v>44078</v>
      </c>
      <c r="I647">
        <v>1</v>
      </c>
      <c r="K647" t="s">
        <v>4188</v>
      </c>
      <c r="L647" t="s">
        <v>38</v>
      </c>
      <c r="N647">
        <v>363.37900000000002</v>
      </c>
      <c r="P647" t="s">
        <v>18</v>
      </c>
    </row>
    <row r="648" spans="1:16" x14ac:dyDescent="0.35">
      <c r="A648">
        <v>6523045</v>
      </c>
      <c r="B648" t="s">
        <v>4189</v>
      </c>
      <c r="C648" t="str">
        <f>""</f>
        <v/>
      </c>
      <c r="D648" t="str">
        <f>"9781799808008"</f>
        <v>9781799808008</v>
      </c>
      <c r="E648" t="s">
        <v>138</v>
      </c>
      <c r="F648" t="s">
        <v>138</v>
      </c>
      <c r="G648" s="1">
        <v>44105</v>
      </c>
      <c r="H648" s="1">
        <v>44275</v>
      </c>
      <c r="K648" t="s">
        <v>3292</v>
      </c>
      <c r="L648" t="s">
        <v>26</v>
      </c>
      <c r="M648" t="s">
        <v>2825</v>
      </c>
      <c r="N648">
        <v>338.92700000000002</v>
      </c>
      <c r="O648" t="s">
        <v>1793</v>
      </c>
      <c r="P648" t="s">
        <v>18</v>
      </c>
    </row>
    <row r="649" spans="1:16" x14ac:dyDescent="0.35">
      <c r="A649">
        <v>6357432</v>
      </c>
      <c r="B649" t="s">
        <v>4190</v>
      </c>
      <c r="C649" t="str">
        <f>"9781527558632"</f>
        <v>9781527558632</v>
      </c>
      <c r="D649" t="str">
        <f>"9781527559929"</f>
        <v>9781527559929</v>
      </c>
      <c r="E649" t="s">
        <v>1662</v>
      </c>
      <c r="F649" t="s">
        <v>1662</v>
      </c>
      <c r="G649" s="1">
        <v>44104</v>
      </c>
      <c r="H649" s="1">
        <v>44100</v>
      </c>
      <c r="K649" t="s">
        <v>4191</v>
      </c>
      <c r="L649" t="s">
        <v>35</v>
      </c>
      <c r="M649" t="s">
        <v>4192</v>
      </c>
      <c r="N649">
        <v>418.00709999999998</v>
      </c>
      <c r="O649" t="s">
        <v>4193</v>
      </c>
      <c r="P649" t="s">
        <v>18</v>
      </c>
    </row>
    <row r="650" spans="1:16" x14ac:dyDescent="0.35">
      <c r="A650">
        <v>6319102</v>
      </c>
      <c r="B650" t="s">
        <v>4194</v>
      </c>
      <c r="C650" t="str">
        <f>"9783035716443"</f>
        <v>9783035716443</v>
      </c>
      <c r="D650" t="str">
        <f>"9783035736441"</f>
        <v>9783035736441</v>
      </c>
      <c r="E650" t="s">
        <v>1649</v>
      </c>
      <c r="F650" t="s">
        <v>1649</v>
      </c>
      <c r="G650" s="1">
        <v>44102</v>
      </c>
      <c r="H650" s="1">
        <v>44070</v>
      </c>
      <c r="I650">
        <v>1</v>
      </c>
      <c r="J650" t="s">
        <v>4195</v>
      </c>
      <c r="K650" t="s">
        <v>4196</v>
      </c>
      <c r="L650" t="s">
        <v>4197</v>
      </c>
      <c r="P650" t="s">
        <v>18</v>
      </c>
    </row>
    <row r="651" spans="1:16" x14ac:dyDescent="0.35">
      <c r="A651">
        <v>6360497</v>
      </c>
      <c r="B651" t="s">
        <v>4198</v>
      </c>
      <c r="C651" t="str">
        <f>"9780128166383"</f>
        <v>9780128166383</v>
      </c>
      <c r="D651" t="str">
        <f>"9780128166475"</f>
        <v>9780128166475</v>
      </c>
      <c r="E651" t="s">
        <v>1699</v>
      </c>
      <c r="F651" t="s">
        <v>1699</v>
      </c>
      <c r="G651" s="1">
        <v>44100</v>
      </c>
      <c r="H651" s="1">
        <v>44105</v>
      </c>
      <c r="K651" t="s">
        <v>4199</v>
      </c>
      <c r="L651" t="s">
        <v>4200</v>
      </c>
      <c r="M651" t="s">
        <v>4201</v>
      </c>
      <c r="N651">
        <v>388.0684</v>
      </c>
      <c r="O651" t="s">
        <v>4202</v>
      </c>
      <c r="P651" t="s">
        <v>18</v>
      </c>
    </row>
    <row r="652" spans="1:16" x14ac:dyDescent="0.35">
      <c r="A652">
        <v>6348340</v>
      </c>
      <c r="B652" t="s">
        <v>4203</v>
      </c>
      <c r="C652" t="str">
        <f>"9781799856917"</f>
        <v>9781799856917</v>
      </c>
      <c r="D652" t="str">
        <f>"9781799856948"</f>
        <v>9781799856948</v>
      </c>
      <c r="E652" t="s">
        <v>138</v>
      </c>
      <c r="F652" t="s">
        <v>1769</v>
      </c>
      <c r="G652" s="1">
        <v>44099</v>
      </c>
      <c r="H652" s="1">
        <v>44086</v>
      </c>
      <c r="K652" t="s">
        <v>4204</v>
      </c>
      <c r="L652" t="s">
        <v>287</v>
      </c>
      <c r="M652" t="s">
        <v>4205</v>
      </c>
      <c r="N652">
        <v>338.47910000000002</v>
      </c>
      <c r="O652" t="s">
        <v>4206</v>
      </c>
      <c r="P652" t="s">
        <v>18</v>
      </c>
    </row>
    <row r="653" spans="1:16" x14ac:dyDescent="0.35">
      <c r="A653">
        <v>6348345</v>
      </c>
      <c r="B653" t="s">
        <v>4207</v>
      </c>
      <c r="C653" t="str">
        <f>"9781799848523"</f>
        <v>9781799848523</v>
      </c>
      <c r="D653" t="str">
        <f>"9781799848547"</f>
        <v>9781799848547</v>
      </c>
      <c r="E653" t="s">
        <v>138</v>
      </c>
      <c r="F653" t="s">
        <v>1769</v>
      </c>
      <c r="G653" s="1">
        <v>44099</v>
      </c>
      <c r="H653" s="1">
        <v>44086</v>
      </c>
      <c r="K653" t="s">
        <v>4208</v>
      </c>
      <c r="L653" t="s">
        <v>41</v>
      </c>
      <c r="M653" t="s">
        <v>4209</v>
      </c>
      <c r="N653">
        <v>338.6</v>
      </c>
      <c r="O653" t="s">
        <v>4210</v>
      </c>
      <c r="P653" t="s">
        <v>18</v>
      </c>
    </row>
    <row r="654" spans="1:16" x14ac:dyDescent="0.35">
      <c r="A654">
        <v>6357705</v>
      </c>
      <c r="B654" t="s">
        <v>4211</v>
      </c>
      <c r="C654" t="str">
        <f>"9780128229897"</f>
        <v>9780128229897</v>
      </c>
      <c r="D654" t="str">
        <f>"9780128225608"</f>
        <v>9780128225608</v>
      </c>
      <c r="E654" t="s">
        <v>190</v>
      </c>
      <c r="F654" t="s">
        <v>191</v>
      </c>
      <c r="G654" s="1">
        <v>44099</v>
      </c>
      <c r="H654" s="1">
        <v>44101</v>
      </c>
      <c r="K654" t="s">
        <v>4212</v>
      </c>
      <c r="L654" t="s">
        <v>165</v>
      </c>
      <c r="M654" t="s">
        <v>4213</v>
      </c>
      <c r="N654">
        <v>621.40200000000004</v>
      </c>
      <c r="O654" t="s">
        <v>481</v>
      </c>
      <c r="P654" t="s">
        <v>18</v>
      </c>
    </row>
    <row r="655" spans="1:16" x14ac:dyDescent="0.35">
      <c r="A655">
        <v>6379489</v>
      </c>
      <c r="B655" t="s">
        <v>4214</v>
      </c>
      <c r="C655" t="str">
        <f>"9781536186147"</f>
        <v>9781536186147</v>
      </c>
      <c r="D655" t="str">
        <f>"9781536186468"</f>
        <v>9781536186468</v>
      </c>
      <c r="E655" t="s">
        <v>1689</v>
      </c>
      <c r="F655" t="s">
        <v>3255</v>
      </c>
      <c r="G655" s="1">
        <v>44098</v>
      </c>
      <c r="H655" s="1">
        <v>44207</v>
      </c>
      <c r="I655">
        <v>1</v>
      </c>
      <c r="J655" t="s">
        <v>4215</v>
      </c>
      <c r="K655" t="s">
        <v>4216</v>
      </c>
      <c r="L655" t="s">
        <v>99</v>
      </c>
      <c r="P655" t="s">
        <v>18</v>
      </c>
    </row>
    <row r="656" spans="1:16" x14ac:dyDescent="0.35">
      <c r="A656">
        <v>6354402</v>
      </c>
      <c r="B656" t="s">
        <v>4217</v>
      </c>
      <c r="C656" t="str">
        <f>"9780128198483"</f>
        <v>9780128198483</v>
      </c>
      <c r="D656" t="str">
        <f>"9780128226704"</f>
        <v>9780128226704</v>
      </c>
      <c r="E656" t="s">
        <v>1699</v>
      </c>
      <c r="F656" t="s">
        <v>1699</v>
      </c>
      <c r="G656" s="1">
        <v>44095</v>
      </c>
      <c r="H656" s="1">
        <v>44096</v>
      </c>
      <c r="K656" t="s">
        <v>2203</v>
      </c>
      <c r="L656" t="s">
        <v>176</v>
      </c>
      <c r="M656" t="s">
        <v>4218</v>
      </c>
      <c r="N656">
        <v>547.20000000000005</v>
      </c>
      <c r="O656" t="s">
        <v>4219</v>
      </c>
      <c r="P656" t="s">
        <v>18</v>
      </c>
    </row>
    <row r="657" spans="1:16" x14ac:dyDescent="0.35">
      <c r="A657">
        <v>6357890</v>
      </c>
      <c r="B657" t="s">
        <v>4220</v>
      </c>
      <c r="C657" t="str">
        <f>""</f>
        <v/>
      </c>
      <c r="D657" t="str">
        <f>"9783110597783"</f>
        <v>9783110597783</v>
      </c>
      <c r="E657" t="s">
        <v>404</v>
      </c>
      <c r="F657" t="s">
        <v>404</v>
      </c>
      <c r="G657" s="1">
        <v>44095</v>
      </c>
      <c r="H657" s="1">
        <v>44102</v>
      </c>
      <c r="J657" t="s">
        <v>1685</v>
      </c>
      <c r="K657" t="s">
        <v>4221</v>
      </c>
      <c r="L657" t="s">
        <v>76</v>
      </c>
      <c r="M657" t="s">
        <v>4222</v>
      </c>
      <c r="N657">
        <v>660.02859999999998</v>
      </c>
      <c r="O657" t="s">
        <v>2033</v>
      </c>
      <c r="P657" t="s">
        <v>18</v>
      </c>
    </row>
    <row r="658" spans="1:16" x14ac:dyDescent="0.35">
      <c r="A658">
        <v>6347261</v>
      </c>
      <c r="B658" t="s">
        <v>4223</v>
      </c>
      <c r="C658" t="str">
        <f>"9781799827115"</f>
        <v>9781799827115</v>
      </c>
      <c r="D658" t="str">
        <f>"9781799827139"</f>
        <v>9781799827139</v>
      </c>
      <c r="E658" t="s">
        <v>138</v>
      </c>
      <c r="F658" t="s">
        <v>1789</v>
      </c>
      <c r="G658" s="1">
        <v>44092</v>
      </c>
      <c r="H658" s="1">
        <v>44085</v>
      </c>
      <c r="K658" t="s">
        <v>4224</v>
      </c>
      <c r="L658" t="s">
        <v>105</v>
      </c>
      <c r="M658" t="s">
        <v>4225</v>
      </c>
      <c r="N658">
        <v>363.70071000000002</v>
      </c>
      <c r="O658" t="s">
        <v>4226</v>
      </c>
      <c r="P658" t="s">
        <v>18</v>
      </c>
    </row>
    <row r="659" spans="1:16" x14ac:dyDescent="0.35">
      <c r="A659">
        <v>6351905</v>
      </c>
      <c r="B659" t="s">
        <v>4227</v>
      </c>
      <c r="C659" t="str">
        <f>"9780128205396"</f>
        <v>9780128205396</v>
      </c>
      <c r="D659" t="str">
        <f>"9780128205402"</f>
        <v>9780128205402</v>
      </c>
      <c r="E659" t="s">
        <v>190</v>
      </c>
      <c r="F659" t="s">
        <v>191</v>
      </c>
      <c r="G659" s="1">
        <v>44092</v>
      </c>
      <c r="H659" s="1">
        <v>44092</v>
      </c>
      <c r="K659" t="s">
        <v>2623</v>
      </c>
      <c r="L659" t="s">
        <v>4228</v>
      </c>
      <c r="M659" t="s">
        <v>4071</v>
      </c>
      <c r="N659">
        <v>333.79399999999998</v>
      </c>
      <c r="O659" t="s">
        <v>481</v>
      </c>
      <c r="P659" t="s">
        <v>18</v>
      </c>
    </row>
    <row r="660" spans="1:16" x14ac:dyDescent="0.35">
      <c r="A660">
        <v>6355629</v>
      </c>
      <c r="B660" t="s">
        <v>4229</v>
      </c>
      <c r="C660" t="str">
        <f>"9781799845225"</f>
        <v>9781799845225</v>
      </c>
      <c r="D660" t="str">
        <f>"9781799845249"</f>
        <v>9781799845249</v>
      </c>
      <c r="E660" t="s">
        <v>138</v>
      </c>
      <c r="F660" t="s">
        <v>1769</v>
      </c>
      <c r="G660" s="1">
        <v>44092</v>
      </c>
      <c r="H660" s="1">
        <v>44097</v>
      </c>
      <c r="K660" t="s">
        <v>4230</v>
      </c>
      <c r="L660" t="s">
        <v>28</v>
      </c>
      <c r="M660" t="s">
        <v>4231</v>
      </c>
      <c r="N660" t="s">
        <v>217</v>
      </c>
      <c r="O660" t="s">
        <v>4232</v>
      </c>
      <c r="P660" t="s">
        <v>18</v>
      </c>
    </row>
    <row r="661" spans="1:16" x14ac:dyDescent="0.35">
      <c r="A661">
        <v>6355633</v>
      </c>
      <c r="B661" t="s">
        <v>4233</v>
      </c>
      <c r="C661" t="str">
        <f>"9781799850182"</f>
        <v>9781799850182</v>
      </c>
      <c r="D661" t="str">
        <f>"9781799850205"</f>
        <v>9781799850205</v>
      </c>
      <c r="E661" t="s">
        <v>138</v>
      </c>
      <c r="F661" t="s">
        <v>1789</v>
      </c>
      <c r="G661" s="1">
        <v>44092</v>
      </c>
      <c r="H661" s="1">
        <v>44097</v>
      </c>
      <c r="K661" t="s">
        <v>4234</v>
      </c>
      <c r="L661" t="s">
        <v>415</v>
      </c>
      <c r="M661" t="s">
        <v>4235</v>
      </c>
      <c r="N661" t="s">
        <v>4236</v>
      </c>
      <c r="O661" t="s">
        <v>4237</v>
      </c>
      <c r="P661" t="s">
        <v>18</v>
      </c>
    </row>
    <row r="662" spans="1:16" x14ac:dyDescent="0.35">
      <c r="A662">
        <v>6259016</v>
      </c>
      <c r="B662" t="s">
        <v>4238</v>
      </c>
      <c r="C662" t="str">
        <f>"9781350133792"</f>
        <v>9781350133792</v>
      </c>
      <c r="D662" t="str">
        <f>"9781350133808"</f>
        <v>9781350133808</v>
      </c>
      <c r="E662" t="s">
        <v>354</v>
      </c>
      <c r="F662" t="s">
        <v>355</v>
      </c>
      <c r="G662" s="1">
        <v>44091</v>
      </c>
      <c r="H662" s="1">
        <v>44020</v>
      </c>
      <c r="K662" t="s">
        <v>4239</v>
      </c>
      <c r="L662" t="s">
        <v>4240</v>
      </c>
      <c r="M662" t="s">
        <v>4241</v>
      </c>
      <c r="N662">
        <v>155.9</v>
      </c>
      <c r="O662" t="s">
        <v>4242</v>
      </c>
      <c r="P662" t="s">
        <v>18</v>
      </c>
    </row>
    <row r="663" spans="1:16" x14ac:dyDescent="0.35">
      <c r="A663">
        <v>6273060</v>
      </c>
      <c r="B663" t="s">
        <v>4243</v>
      </c>
      <c r="C663" t="str">
        <f>"9781350089532"</f>
        <v>9781350089532</v>
      </c>
      <c r="D663" t="str">
        <f>"9781350089556"</f>
        <v>9781350089556</v>
      </c>
      <c r="E663" t="s">
        <v>539</v>
      </c>
      <c r="F663" t="s">
        <v>540</v>
      </c>
      <c r="G663" s="1">
        <v>44091</v>
      </c>
      <c r="H663" s="1">
        <v>44043</v>
      </c>
      <c r="J663" t="s">
        <v>4244</v>
      </c>
      <c r="K663" t="s">
        <v>4245</v>
      </c>
      <c r="L663" t="s">
        <v>276</v>
      </c>
      <c r="M663" t="s">
        <v>4246</v>
      </c>
      <c r="N663">
        <v>745.2</v>
      </c>
      <c r="O663" t="s">
        <v>2625</v>
      </c>
      <c r="P663" t="s">
        <v>18</v>
      </c>
    </row>
    <row r="664" spans="1:16" x14ac:dyDescent="0.35">
      <c r="A664">
        <v>6317235</v>
      </c>
      <c r="B664" t="s">
        <v>4247</v>
      </c>
      <c r="C664" t="str">
        <f>"9781509931460"</f>
        <v>9781509931460</v>
      </c>
      <c r="D664" t="str">
        <f>"9781509931484"</f>
        <v>9781509931484</v>
      </c>
      <c r="E664" t="s">
        <v>354</v>
      </c>
      <c r="F664" t="s">
        <v>294</v>
      </c>
      <c r="G664" s="1">
        <v>44091</v>
      </c>
      <c r="H664" s="1">
        <v>44066</v>
      </c>
      <c r="K664" t="s">
        <v>4248</v>
      </c>
      <c r="L664" t="s">
        <v>23</v>
      </c>
      <c r="M664" t="s">
        <v>4249</v>
      </c>
      <c r="N664">
        <v>344.42045999999999</v>
      </c>
      <c r="O664" t="s">
        <v>3733</v>
      </c>
      <c r="P664" t="s">
        <v>18</v>
      </c>
    </row>
    <row r="665" spans="1:16" x14ac:dyDescent="0.35">
      <c r="A665">
        <v>6349600</v>
      </c>
      <c r="B665" t="s">
        <v>4250</v>
      </c>
      <c r="C665" t="str">
        <f>"9780128201930"</f>
        <v>9780128201930</v>
      </c>
      <c r="D665" t="str">
        <f>"9780128226605"</f>
        <v>9780128226605</v>
      </c>
      <c r="E665" t="s">
        <v>190</v>
      </c>
      <c r="F665" t="s">
        <v>2139</v>
      </c>
      <c r="G665" s="1">
        <v>44090</v>
      </c>
      <c r="H665" s="1">
        <v>44089</v>
      </c>
      <c r="J665" t="s">
        <v>2140</v>
      </c>
      <c r="K665" t="s">
        <v>4251</v>
      </c>
      <c r="L665" t="s">
        <v>2108</v>
      </c>
      <c r="M665" t="s">
        <v>4252</v>
      </c>
      <c r="N665">
        <v>622.33810000000005</v>
      </c>
      <c r="O665" t="s">
        <v>4253</v>
      </c>
      <c r="P665" t="s">
        <v>18</v>
      </c>
    </row>
    <row r="666" spans="1:16" x14ac:dyDescent="0.35">
      <c r="A666">
        <v>6313900</v>
      </c>
      <c r="B666" t="s">
        <v>4254</v>
      </c>
      <c r="C666" t="str">
        <f>"9781789208641"</f>
        <v>9781789208641</v>
      </c>
      <c r="D666" t="str">
        <f>"9781789208658"</f>
        <v>9781789208658</v>
      </c>
      <c r="E666" t="s">
        <v>447</v>
      </c>
      <c r="F666" t="s">
        <v>447</v>
      </c>
      <c r="G666" s="1">
        <v>44085</v>
      </c>
      <c r="H666" s="1">
        <v>44065</v>
      </c>
      <c r="I666">
        <v>1</v>
      </c>
      <c r="J666" t="s">
        <v>4255</v>
      </c>
      <c r="K666" t="s">
        <v>4256</v>
      </c>
      <c r="L666" t="s">
        <v>34</v>
      </c>
      <c r="M666" t="s">
        <v>4257</v>
      </c>
      <c r="P666" t="s">
        <v>18</v>
      </c>
    </row>
    <row r="667" spans="1:16" x14ac:dyDescent="0.35">
      <c r="A667">
        <v>6356849</v>
      </c>
      <c r="B667" t="s">
        <v>4258</v>
      </c>
      <c r="C667" t="str">
        <f>"9781789909968"</f>
        <v>9781789909968</v>
      </c>
      <c r="D667" t="str">
        <f>"9781789909975"</f>
        <v>9781789909975</v>
      </c>
      <c r="E667" t="s">
        <v>2080</v>
      </c>
      <c r="F667" t="s">
        <v>2080</v>
      </c>
      <c r="G667" s="1">
        <v>44085</v>
      </c>
      <c r="H667" s="1">
        <v>44099</v>
      </c>
      <c r="K667" t="s">
        <v>4259</v>
      </c>
      <c r="L667" t="s">
        <v>33</v>
      </c>
      <c r="M667" t="s">
        <v>4260</v>
      </c>
      <c r="N667">
        <v>320.60939999999999</v>
      </c>
      <c r="O667" t="s">
        <v>4261</v>
      </c>
      <c r="P667" t="s">
        <v>18</v>
      </c>
    </row>
    <row r="668" spans="1:16" x14ac:dyDescent="0.35">
      <c r="A668">
        <v>6376719</v>
      </c>
      <c r="B668" t="s">
        <v>4262</v>
      </c>
      <c r="C668" t="str">
        <f>"9781536184013"</f>
        <v>9781536184013</v>
      </c>
      <c r="D668" t="str">
        <f>"9781536184822"</f>
        <v>9781536184822</v>
      </c>
      <c r="E668" t="s">
        <v>1689</v>
      </c>
      <c r="F668" t="s">
        <v>1689</v>
      </c>
      <c r="G668" s="1">
        <v>44085</v>
      </c>
      <c r="H668" s="1">
        <v>44128</v>
      </c>
      <c r="I668">
        <v>1</v>
      </c>
      <c r="J668" t="s">
        <v>391</v>
      </c>
      <c r="K668" t="s">
        <v>4263</v>
      </c>
      <c r="L668" t="s">
        <v>33</v>
      </c>
      <c r="P668" t="s">
        <v>18</v>
      </c>
    </row>
    <row r="669" spans="1:16" x14ac:dyDescent="0.35">
      <c r="A669">
        <v>6376721</v>
      </c>
      <c r="B669" t="s">
        <v>4264</v>
      </c>
      <c r="C669" t="str">
        <f>"9781536184006"</f>
        <v>9781536184006</v>
      </c>
      <c r="D669" t="str">
        <f>"9781536184785"</f>
        <v>9781536184785</v>
      </c>
      <c r="E669" t="s">
        <v>1689</v>
      </c>
      <c r="F669" t="s">
        <v>1689</v>
      </c>
      <c r="G669" s="1">
        <v>44085</v>
      </c>
      <c r="H669" s="1">
        <v>44128</v>
      </c>
      <c r="I669">
        <v>1</v>
      </c>
      <c r="J669" t="s">
        <v>2789</v>
      </c>
      <c r="K669" t="s">
        <v>4265</v>
      </c>
      <c r="L669" t="s">
        <v>3204</v>
      </c>
      <c r="P669" t="s">
        <v>18</v>
      </c>
    </row>
    <row r="670" spans="1:16" x14ac:dyDescent="0.35">
      <c r="A670">
        <v>6356855</v>
      </c>
      <c r="B670" t="s">
        <v>4266</v>
      </c>
      <c r="C670" t="str">
        <f>"9781839109683"</f>
        <v>9781839109683</v>
      </c>
      <c r="D670" t="str">
        <f>"9781839109690"</f>
        <v>9781839109690</v>
      </c>
      <c r="E670" t="s">
        <v>2080</v>
      </c>
      <c r="F670" t="s">
        <v>2080</v>
      </c>
      <c r="G670" s="1">
        <v>44078</v>
      </c>
      <c r="H670" s="1">
        <v>44099</v>
      </c>
      <c r="J670" t="s">
        <v>4267</v>
      </c>
      <c r="K670" t="s">
        <v>4268</v>
      </c>
      <c r="L670" t="s">
        <v>41</v>
      </c>
      <c r="M670" t="s">
        <v>4269</v>
      </c>
      <c r="N670">
        <v>338.04</v>
      </c>
      <c r="O670" t="s">
        <v>4270</v>
      </c>
      <c r="P670" t="s">
        <v>18</v>
      </c>
    </row>
    <row r="671" spans="1:16" x14ac:dyDescent="0.35">
      <c r="A671">
        <v>6376562</v>
      </c>
      <c r="B671" t="s">
        <v>4271</v>
      </c>
      <c r="C671" t="str">
        <f>"9781799850366"</f>
        <v>9781799850366</v>
      </c>
      <c r="D671" t="str">
        <f>"9781799850373"</f>
        <v>9781799850373</v>
      </c>
      <c r="E671" t="s">
        <v>138</v>
      </c>
      <c r="F671" t="s">
        <v>1769</v>
      </c>
      <c r="G671" s="1">
        <v>44078</v>
      </c>
      <c r="H671" s="1">
        <v>44128</v>
      </c>
      <c r="K671" t="s">
        <v>4272</v>
      </c>
      <c r="L671" t="s">
        <v>28</v>
      </c>
      <c r="M671" t="s">
        <v>4273</v>
      </c>
      <c r="N671">
        <v>658.56200000000001</v>
      </c>
      <c r="O671" t="s">
        <v>537</v>
      </c>
      <c r="P671" t="s">
        <v>18</v>
      </c>
    </row>
    <row r="672" spans="1:16" x14ac:dyDescent="0.35">
      <c r="A672">
        <v>6426190</v>
      </c>
      <c r="B672" t="s">
        <v>4274</v>
      </c>
      <c r="C672" t="str">
        <f>"9781799848332"</f>
        <v>9781799848332</v>
      </c>
      <c r="D672" t="str">
        <f>"9781799848349"</f>
        <v>9781799848349</v>
      </c>
      <c r="E672" t="s">
        <v>138</v>
      </c>
      <c r="F672" t="s">
        <v>1769</v>
      </c>
      <c r="G672" s="1">
        <v>44078</v>
      </c>
      <c r="H672" s="1">
        <v>44182</v>
      </c>
      <c r="K672" t="s">
        <v>4275</v>
      </c>
      <c r="L672" t="s">
        <v>28</v>
      </c>
      <c r="M672" t="s">
        <v>4276</v>
      </c>
      <c r="N672">
        <v>658.40380000000005</v>
      </c>
      <c r="O672" t="s">
        <v>4277</v>
      </c>
      <c r="P672" t="s">
        <v>18</v>
      </c>
    </row>
    <row r="673" spans="1:16" x14ac:dyDescent="0.35">
      <c r="A673">
        <v>6267601</v>
      </c>
      <c r="B673" t="s">
        <v>4278</v>
      </c>
      <c r="C673" t="str">
        <f>"9781350101128"</f>
        <v>9781350101128</v>
      </c>
      <c r="D673" t="str">
        <f>"9781350101135"</f>
        <v>9781350101135</v>
      </c>
      <c r="E673" t="s">
        <v>354</v>
      </c>
      <c r="F673" t="s">
        <v>355</v>
      </c>
      <c r="G673" s="1">
        <v>44077</v>
      </c>
      <c r="H673" s="1">
        <v>44034</v>
      </c>
      <c r="J673" t="s">
        <v>4279</v>
      </c>
      <c r="K673" t="s">
        <v>4280</v>
      </c>
      <c r="L673" t="s">
        <v>26</v>
      </c>
      <c r="M673" t="s">
        <v>4281</v>
      </c>
      <c r="N673">
        <v>338.19439999999997</v>
      </c>
      <c r="O673" t="s">
        <v>4282</v>
      </c>
      <c r="P673" t="s">
        <v>18</v>
      </c>
    </row>
    <row r="674" spans="1:16" x14ac:dyDescent="0.35">
      <c r="A674">
        <v>6297971</v>
      </c>
      <c r="B674" t="s">
        <v>4283</v>
      </c>
      <c r="C674" t="str">
        <f>"9781536178883"</f>
        <v>9781536178883</v>
      </c>
      <c r="D674" t="str">
        <f>"9781536178890"</f>
        <v>9781536178890</v>
      </c>
      <c r="E674" t="s">
        <v>1689</v>
      </c>
      <c r="F674" t="s">
        <v>1689</v>
      </c>
      <c r="G674" s="1">
        <v>44076</v>
      </c>
      <c r="H674" s="1">
        <v>44057</v>
      </c>
      <c r="I674">
        <v>1</v>
      </c>
      <c r="J674" t="s">
        <v>3786</v>
      </c>
      <c r="K674" t="s">
        <v>4284</v>
      </c>
      <c r="L674" t="s">
        <v>144</v>
      </c>
      <c r="N674">
        <v>579.87</v>
      </c>
      <c r="P674" t="s">
        <v>18</v>
      </c>
    </row>
    <row r="675" spans="1:16" x14ac:dyDescent="0.35">
      <c r="A675">
        <v>6335183</v>
      </c>
      <c r="B675" t="s">
        <v>4285</v>
      </c>
      <c r="C675" t="str">
        <f>"9780128203385"</f>
        <v>9780128203385</v>
      </c>
      <c r="D675" t="str">
        <f>"9780128203422"</f>
        <v>9780128203422</v>
      </c>
      <c r="E675" t="s">
        <v>190</v>
      </c>
      <c r="F675" t="s">
        <v>280</v>
      </c>
      <c r="G675" s="1">
        <v>44076</v>
      </c>
      <c r="H675" s="1">
        <v>44078</v>
      </c>
      <c r="J675" t="s">
        <v>486</v>
      </c>
      <c r="K675" t="s">
        <v>4286</v>
      </c>
      <c r="L675" t="s">
        <v>58</v>
      </c>
      <c r="M675" t="s">
        <v>4287</v>
      </c>
      <c r="N675">
        <v>620.19200000000001</v>
      </c>
      <c r="O675" t="s">
        <v>4288</v>
      </c>
      <c r="P675" t="s">
        <v>18</v>
      </c>
    </row>
    <row r="676" spans="1:16" x14ac:dyDescent="0.35">
      <c r="A676">
        <v>6370287</v>
      </c>
      <c r="B676" t="s">
        <v>4289</v>
      </c>
      <c r="C676" t="str">
        <f>"9781536184136"</f>
        <v>9781536184136</v>
      </c>
      <c r="D676" t="str">
        <f>"9781536184730"</f>
        <v>9781536184730</v>
      </c>
      <c r="E676" t="s">
        <v>1689</v>
      </c>
      <c r="F676" t="s">
        <v>1689</v>
      </c>
      <c r="G676" s="1">
        <v>44076</v>
      </c>
      <c r="H676" s="1">
        <v>44114</v>
      </c>
      <c r="I676">
        <v>1</v>
      </c>
      <c r="J676" t="s">
        <v>4290</v>
      </c>
      <c r="K676" t="s">
        <v>4291</v>
      </c>
      <c r="L676" t="s">
        <v>33</v>
      </c>
      <c r="P676" t="s">
        <v>18</v>
      </c>
    </row>
    <row r="677" spans="1:16" x14ac:dyDescent="0.35">
      <c r="A677">
        <v>6321332</v>
      </c>
      <c r="B677" t="s">
        <v>4292</v>
      </c>
      <c r="C677" t="str">
        <f>"9780128203187"</f>
        <v>9780128203187</v>
      </c>
      <c r="D677" t="str">
        <f>"9780128203170"</f>
        <v>9780128203170</v>
      </c>
      <c r="E677" t="s">
        <v>1699</v>
      </c>
      <c r="F677" t="s">
        <v>1699</v>
      </c>
      <c r="G677" s="1">
        <v>44072</v>
      </c>
      <c r="H677" s="1">
        <v>44073</v>
      </c>
      <c r="K677" t="s">
        <v>4293</v>
      </c>
      <c r="L677" t="s">
        <v>113</v>
      </c>
      <c r="M677" t="s">
        <v>4135</v>
      </c>
      <c r="N677">
        <v>628.5</v>
      </c>
      <c r="O677" t="s">
        <v>3084</v>
      </c>
      <c r="P677" t="s">
        <v>18</v>
      </c>
    </row>
    <row r="678" spans="1:16" x14ac:dyDescent="0.35">
      <c r="A678">
        <v>6276301</v>
      </c>
      <c r="B678" t="s">
        <v>4294</v>
      </c>
      <c r="C678" t="str">
        <f>"9781799857969"</f>
        <v>9781799857969</v>
      </c>
      <c r="D678" t="str">
        <f>"9781799857983"</f>
        <v>9781799857983</v>
      </c>
      <c r="E678" t="s">
        <v>138</v>
      </c>
      <c r="F678" t="s">
        <v>1764</v>
      </c>
      <c r="G678" s="1">
        <v>44071</v>
      </c>
      <c r="H678" s="1">
        <v>44062</v>
      </c>
      <c r="K678" t="s">
        <v>4295</v>
      </c>
      <c r="L678" t="s">
        <v>141</v>
      </c>
      <c r="M678" t="s">
        <v>4296</v>
      </c>
      <c r="N678">
        <v>621.31028400000002</v>
      </c>
      <c r="O678" t="s">
        <v>4297</v>
      </c>
      <c r="P678" t="s">
        <v>18</v>
      </c>
    </row>
    <row r="679" spans="1:16" x14ac:dyDescent="0.35">
      <c r="A679">
        <v>6321331</v>
      </c>
      <c r="B679" t="s">
        <v>4298</v>
      </c>
      <c r="C679" t="str">
        <f>"9780128195390"</f>
        <v>9780128195390</v>
      </c>
      <c r="D679" t="str">
        <f>"9780128227602"</f>
        <v>9780128227602</v>
      </c>
      <c r="E679" t="s">
        <v>1699</v>
      </c>
      <c r="F679" t="s">
        <v>1699</v>
      </c>
      <c r="G679" s="1">
        <v>44069</v>
      </c>
      <c r="H679" s="1">
        <v>44073</v>
      </c>
      <c r="K679" t="s">
        <v>2203</v>
      </c>
      <c r="L679" t="s">
        <v>76</v>
      </c>
      <c r="M679" t="s">
        <v>4299</v>
      </c>
      <c r="N679">
        <v>660.29</v>
      </c>
      <c r="O679" t="s">
        <v>4300</v>
      </c>
      <c r="P679" t="s">
        <v>18</v>
      </c>
    </row>
    <row r="680" spans="1:16" x14ac:dyDescent="0.35">
      <c r="A680">
        <v>6263881</v>
      </c>
      <c r="B680" t="s">
        <v>4301</v>
      </c>
      <c r="C680" t="str">
        <f>"9781786392312"</f>
        <v>9781786392312</v>
      </c>
      <c r="D680" t="str">
        <f>"9781786392336"</f>
        <v>9781786392336</v>
      </c>
      <c r="E680" t="s">
        <v>333</v>
      </c>
      <c r="F680" t="s">
        <v>333</v>
      </c>
      <c r="G680" s="1">
        <v>44068</v>
      </c>
      <c r="H680" s="1">
        <v>44028</v>
      </c>
      <c r="K680" t="s">
        <v>4302</v>
      </c>
      <c r="L680" t="s">
        <v>469</v>
      </c>
      <c r="M680" t="s">
        <v>4303</v>
      </c>
      <c r="N680">
        <v>636.08320000000003</v>
      </c>
      <c r="O680" t="s">
        <v>470</v>
      </c>
      <c r="P680" t="s">
        <v>18</v>
      </c>
    </row>
    <row r="681" spans="1:16" x14ac:dyDescent="0.35">
      <c r="A681">
        <v>6270012</v>
      </c>
      <c r="B681" t="s">
        <v>4304</v>
      </c>
      <c r="C681" t="str">
        <f>"9781982142438"</f>
        <v>9781982142438</v>
      </c>
      <c r="D681" t="str">
        <f>"9781982142483"</f>
        <v>9781982142483</v>
      </c>
      <c r="E681" t="s">
        <v>2705</v>
      </c>
      <c r="F681" t="s">
        <v>2705</v>
      </c>
      <c r="G681" s="1">
        <v>44068</v>
      </c>
      <c r="H681" s="1">
        <v>44040</v>
      </c>
      <c r="K681" t="s">
        <v>4305</v>
      </c>
      <c r="L681" t="s">
        <v>105</v>
      </c>
      <c r="M681" t="s">
        <v>4306</v>
      </c>
      <c r="N681" t="s">
        <v>4307</v>
      </c>
      <c r="O681" t="s">
        <v>4308</v>
      </c>
      <c r="P681" t="s">
        <v>18</v>
      </c>
    </row>
    <row r="682" spans="1:16" x14ac:dyDescent="0.35">
      <c r="A682">
        <v>6304891</v>
      </c>
      <c r="B682" t="s">
        <v>4309</v>
      </c>
      <c r="C682" t="str">
        <f>"9781839828379"</f>
        <v>9781839828379</v>
      </c>
      <c r="D682" t="str">
        <f>"9781839828362"</f>
        <v>9781839828362</v>
      </c>
      <c r="E682" t="s">
        <v>187</v>
      </c>
      <c r="F682" t="s">
        <v>187</v>
      </c>
      <c r="G682" s="1">
        <v>44068</v>
      </c>
      <c r="H682" s="1">
        <v>44060</v>
      </c>
      <c r="K682" t="s">
        <v>4310</v>
      </c>
      <c r="L682" t="s">
        <v>41</v>
      </c>
      <c r="M682" t="s">
        <v>3354</v>
      </c>
      <c r="N682">
        <v>330.9</v>
      </c>
      <c r="O682" t="s">
        <v>4311</v>
      </c>
      <c r="P682" t="s">
        <v>18</v>
      </c>
    </row>
    <row r="683" spans="1:16" x14ac:dyDescent="0.35">
      <c r="A683">
        <v>6318168</v>
      </c>
      <c r="B683" t="s">
        <v>4312</v>
      </c>
      <c r="C683" t="str">
        <f>"9780444643254"</f>
        <v>9780444643254</v>
      </c>
      <c r="D683" t="str">
        <f>"9780444643261"</f>
        <v>9780444643261</v>
      </c>
      <c r="E683" t="s">
        <v>1699</v>
      </c>
      <c r="F683" t="s">
        <v>1699</v>
      </c>
      <c r="G683" s="1">
        <v>44065</v>
      </c>
      <c r="H683" s="1">
        <v>44069</v>
      </c>
      <c r="K683" t="s">
        <v>4313</v>
      </c>
      <c r="L683" t="s">
        <v>76</v>
      </c>
      <c r="M683" t="s">
        <v>4314</v>
      </c>
      <c r="N683">
        <v>660.62</v>
      </c>
      <c r="O683" t="s">
        <v>4315</v>
      </c>
      <c r="P683" t="s">
        <v>18</v>
      </c>
    </row>
    <row r="684" spans="1:16" x14ac:dyDescent="0.35">
      <c r="A684">
        <v>6301464</v>
      </c>
      <c r="B684" t="s">
        <v>4316</v>
      </c>
      <c r="C684" t="str">
        <f>"9781799840992"</f>
        <v>9781799840992</v>
      </c>
      <c r="D684" t="str">
        <f>"9781799841005"</f>
        <v>9781799841005</v>
      </c>
      <c r="E684" t="s">
        <v>138</v>
      </c>
      <c r="F684" t="s">
        <v>1769</v>
      </c>
      <c r="G684" s="1">
        <v>44064</v>
      </c>
      <c r="H684" s="1">
        <v>44058</v>
      </c>
      <c r="K684" t="s">
        <v>4317</v>
      </c>
      <c r="L684" t="s">
        <v>28</v>
      </c>
      <c r="M684" t="s">
        <v>4318</v>
      </c>
      <c r="N684">
        <v>658</v>
      </c>
      <c r="O684" t="s">
        <v>4319</v>
      </c>
      <c r="P684" t="s">
        <v>18</v>
      </c>
    </row>
    <row r="685" spans="1:16" x14ac:dyDescent="0.35">
      <c r="A685">
        <v>6318884</v>
      </c>
      <c r="B685" t="s">
        <v>4320</v>
      </c>
      <c r="C685" t="str">
        <f>"9780128189207"</f>
        <v>9780128189207</v>
      </c>
      <c r="D685" t="str">
        <f>"9780128189214"</f>
        <v>9780128189214</v>
      </c>
      <c r="E685" t="s">
        <v>190</v>
      </c>
      <c r="F685" t="s">
        <v>282</v>
      </c>
      <c r="G685" s="1">
        <v>44064</v>
      </c>
      <c r="H685" s="1">
        <v>44070</v>
      </c>
      <c r="K685" t="s">
        <v>4321</v>
      </c>
      <c r="L685" t="s">
        <v>41</v>
      </c>
      <c r="M685" t="s">
        <v>4322</v>
      </c>
      <c r="N685">
        <v>338.92700000000002</v>
      </c>
      <c r="O685" t="s">
        <v>4323</v>
      </c>
      <c r="P685" t="s">
        <v>18</v>
      </c>
    </row>
    <row r="686" spans="1:16" x14ac:dyDescent="0.35">
      <c r="A686">
        <v>6210953</v>
      </c>
      <c r="B686" t="s">
        <v>4324</v>
      </c>
      <c r="C686" t="str">
        <f>"9781838604295"</f>
        <v>9781838604295</v>
      </c>
      <c r="D686" t="str">
        <f>"9781838607616"</f>
        <v>9781838607616</v>
      </c>
      <c r="E686" t="s">
        <v>460</v>
      </c>
      <c r="F686" t="s">
        <v>460</v>
      </c>
      <c r="G686" s="1">
        <v>44063</v>
      </c>
      <c r="H686" s="1">
        <v>43980</v>
      </c>
      <c r="K686" t="s">
        <v>4325</v>
      </c>
      <c r="L686" t="s">
        <v>249</v>
      </c>
      <c r="M686" t="s">
        <v>4326</v>
      </c>
      <c r="N686">
        <v>307.14120966899998</v>
      </c>
      <c r="O686" t="s">
        <v>4327</v>
      </c>
      <c r="P686" t="s">
        <v>18</v>
      </c>
    </row>
    <row r="687" spans="1:16" x14ac:dyDescent="0.35">
      <c r="A687">
        <v>6279962</v>
      </c>
      <c r="B687" t="s">
        <v>4328</v>
      </c>
      <c r="C687" t="str">
        <f>"9781978710771"</f>
        <v>9781978710771</v>
      </c>
      <c r="D687" t="str">
        <f>"9781978710788"</f>
        <v>9781978710788</v>
      </c>
      <c r="E687" t="s">
        <v>4329</v>
      </c>
      <c r="F687" t="s">
        <v>4329</v>
      </c>
      <c r="G687" s="1">
        <v>44063</v>
      </c>
      <c r="H687" s="1">
        <v>44049</v>
      </c>
      <c r="K687" t="s">
        <v>4330</v>
      </c>
      <c r="L687" t="s">
        <v>37</v>
      </c>
      <c r="M687" t="s">
        <v>4331</v>
      </c>
      <c r="N687">
        <v>261</v>
      </c>
      <c r="O687" t="s">
        <v>4332</v>
      </c>
      <c r="P687" t="s">
        <v>18</v>
      </c>
    </row>
    <row r="688" spans="1:16" x14ac:dyDescent="0.35">
      <c r="A688">
        <v>6317402</v>
      </c>
      <c r="B688" t="s">
        <v>4333</v>
      </c>
      <c r="C688" t="str">
        <f>"9780128164051"</f>
        <v>9780128164051</v>
      </c>
      <c r="D688" t="str">
        <f>"9780128172667"</f>
        <v>9780128172667</v>
      </c>
      <c r="E688" t="s">
        <v>1699</v>
      </c>
      <c r="F688" t="s">
        <v>1699</v>
      </c>
      <c r="G688" s="1">
        <v>44063</v>
      </c>
      <c r="H688" s="1">
        <v>44067</v>
      </c>
      <c r="K688" t="s">
        <v>4334</v>
      </c>
      <c r="L688" t="s">
        <v>76</v>
      </c>
      <c r="M688" t="s">
        <v>4335</v>
      </c>
      <c r="N688">
        <v>664.02</v>
      </c>
      <c r="O688" t="s">
        <v>504</v>
      </c>
      <c r="P688" t="s">
        <v>18</v>
      </c>
    </row>
    <row r="689" spans="1:16" x14ac:dyDescent="0.35">
      <c r="A689">
        <v>6340792</v>
      </c>
      <c r="B689" t="s">
        <v>4336</v>
      </c>
      <c r="C689" t="str">
        <f>"9781536181869"</f>
        <v>9781536181869</v>
      </c>
      <c r="D689" t="str">
        <f>"9781536183481"</f>
        <v>9781536183481</v>
      </c>
      <c r="E689" t="s">
        <v>1689</v>
      </c>
      <c r="F689" t="s">
        <v>1689</v>
      </c>
      <c r="G689" s="1">
        <v>44061</v>
      </c>
      <c r="H689" s="1">
        <v>44083</v>
      </c>
      <c r="I689">
        <v>1</v>
      </c>
      <c r="J689" t="s">
        <v>4337</v>
      </c>
      <c r="K689" t="s">
        <v>4338</v>
      </c>
      <c r="L689" t="s">
        <v>206</v>
      </c>
      <c r="M689" t="s">
        <v>4339</v>
      </c>
      <c r="N689">
        <v>621.04200000000003</v>
      </c>
      <c r="O689" t="s">
        <v>481</v>
      </c>
      <c r="P689" t="s">
        <v>18</v>
      </c>
    </row>
    <row r="690" spans="1:16" x14ac:dyDescent="0.35">
      <c r="A690">
        <v>6379474</v>
      </c>
      <c r="B690" t="s">
        <v>4340</v>
      </c>
      <c r="C690" t="str">
        <f>"9781536182477"</f>
        <v>9781536182477</v>
      </c>
      <c r="D690" t="str">
        <f>"9781536183542"</f>
        <v>9781536183542</v>
      </c>
      <c r="E690" t="s">
        <v>1689</v>
      </c>
      <c r="F690" t="s">
        <v>1689</v>
      </c>
      <c r="G690" s="1">
        <v>44061</v>
      </c>
      <c r="H690" s="1">
        <v>44133</v>
      </c>
      <c r="I690">
        <v>1</v>
      </c>
      <c r="J690" t="s">
        <v>391</v>
      </c>
      <c r="K690" t="s">
        <v>4341</v>
      </c>
      <c r="L690" t="s">
        <v>33</v>
      </c>
      <c r="P690" t="s">
        <v>18</v>
      </c>
    </row>
    <row r="691" spans="1:16" x14ac:dyDescent="0.35">
      <c r="A691">
        <v>6301539</v>
      </c>
      <c r="B691" t="s">
        <v>4342</v>
      </c>
      <c r="C691" t="str">
        <f>"9781527550292"</f>
        <v>9781527550292</v>
      </c>
      <c r="D691" t="str">
        <f>"9781527557901"</f>
        <v>9781527557901</v>
      </c>
      <c r="E691" t="s">
        <v>1662</v>
      </c>
      <c r="F691" t="s">
        <v>1662</v>
      </c>
      <c r="G691" s="1">
        <v>44060</v>
      </c>
      <c r="H691" s="1">
        <v>44058</v>
      </c>
      <c r="K691" t="s">
        <v>4343</v>
      </c>
      <c r="L691" t="s">
        <v>196</v>
      </c>
      <c r="M691" t="s">
        <v>4344</v>
      </c>
      <c r="N691">
        <v>616.98</v>
      </c>
      <c r="O691" t="s">
        <v>2670</v>
      </c>
      <c r="P691" t="s">
        <v>18</v>
      </c>
    </row>
    <row r="692" spans="1:16" x14ac:dyDescent="0.35">
      <c r="A692">
        <v>6326301</v>
      </c>
      <c r="B692" t="s">
        <v>4345</v>
      </c>
      <c r="C692" t="str">
        <f>"9781610919661"</f>
        <v>9781610919661</v>
      </c>
      <c r="D692" t="str">
        <f>"9781610919678"</f>
        <v>9781610919678</v>
      </c>
      <c r="E692" t="s">
        <v>2154</v>
      </c>
      <c r="F692" t="s">
        <v>2154</v>
      </c>
      <c r="G692" s="1">
        <v>44056</v>
      </c>
      <c r="H692" s="1">
        <v>44076</v>
      </c>
      <c r="I692">
        <v>1</v>
      </c>
      <c r="K692" t="s">
        <v>4346</v>
      </c>
      <c r="L692" t="s">
        <v>112</v>
      </c>
      <c r="N692">
        <v>362.1</v>
      </c>
      <c r="P692" t="s">
        <v>18</v>
      </c>
    </row>
    <row r="693" spans="1:16" x14ac:dyDescent="0.35">
      <c r="A693">
        <v>6259703</v>
      </c>
      <c r="B693" t="s">
        <v>4347</v>
      </c>
      <c r="C693" t="str">
        <f>"9781635573138"</f>
        <v>9781635573138</v>
      </c>
      <c r="D693" t="str">
        <f>"9781635573145"</f>
        <v>9781635573145</v>
      </c>
      <c r="E693" t="s">
        <v>539</v>
      </c>
      <c r="F693" t="s">
        <v>539</v>
      </c>
      <c r="G693" s="1">
        <v>44054</v>
      </c>
      <c r="H693" s="1">
        <v>44021</v>
      </c>
      <c r="K693" t="s">
        <v>4348</v>
      </c>
      <c r="L693" t="s">
        <v>4155</v>
      </c>
      <c r="M693" t="s">
        <v>4349</v>
      </c>
      <c r="N693">
        <v>338.10973000000001</v>
      </c>
      <c r="O693" t="s">
        <v>4350</v>
      </c>
      <c r="P693" t="s">
        <v>18</v>
      </c>
    </row>
    <row r="694" spans="1:16" x14ac:dyDescent="0.35">
      <c r="A694">
        <v>6297991</v>
      </c>
      <c r="B694" t="s">
        <v>4351</v>
      </c>
      <c r="C694" t="str">
        <f>"9781536181364"</f>
        <v>9781536181364</v>
      </c>
      <c r="D694" t="str">
        <f>"9781536182859"</f>
        <v>9781536182859</v>
      </c>
      <c r="E694" t="s">
        <v>1689</v>
      </c>
      <c r="F694" t="s">
        <v>1689</v>
      </c>
      <c r="G694" s="1">
        <v>44054</v>
      </c>
      <c r="H694" s="1">
        <v>44057</v>
      </c>
      <c r="I694">
        <v>1</v>
      </c>
      <c r="J694" t="s">
        <v>3723</v>
      </c>
      <c r="K694" t="s">
        <v>3724</v>
      </c>
      <c r="L694" t="s">
        <v>199</v>
      </c>
      <c r="N694">
        <v>333.79409729100001</v>
      </c>
      <c r="P694" t="s">
        <v>18</v>
      </c>
    </row>
    <row r="695" spans="1:16" x14ac:dyDescent="0.35">
      <c r="A695">
        <v>6320672</v>
      </c>
      <c r="B695" t="s">
        <v>4352</v>
      </c>
      <c r="C695" t="str">
        <f>"9781536182521"</f>
        <v>9781536182521</v>
      </c>
      <c r="D695" t="str">
        <f>"9781536182897"</f>
        <v>9781536182897</v>
      </c>
      <c r="E695" t="s">
        <v>1689</v>
      </c>
      <c r="F695" t="s">
        <v>1689</v>
      </c>
      <c r="G695" s="1">
        <v>44054</v>
      </c>
      <c r="H695" s="1">
        <v>44072</v>
      </c>
      <c r="I695">
        <v>1</v>
      </c>
      <c r="J695" t="s">
        <v>1815</v>
      </c>
      <c r="K695" t="s">
        <v>4353</v>
      </c>
      <c r="L695" t="s">
        <v>104</v>
      </c>
      <c r="N695">
        <v>628.16830000000004</v>
      </c>
      <c r="P695" t="s">
        <v>18</v>
      </c>
    </row>
    <row r="696" spans="1:16" x14ac:dyDescent="0.35">
      <c r="A696">
        <v>6305336</v>
      </c>
      <c r="B696" t="s">
        <v>4354</v>
      </c>
      <c r="C696" t="str">
        <f>""</f>
        <v/>
      </c>
      <c r="D696" t="str">
        <f>"9783110670486"</f>
        <v>9783110670486</v>
      </c>
      <c r="E696" t="s">
        <v>404</v>
      </c>
      <c r="F696" t="s">
        <v>404</v>
      </c>
      <c r="G696" s="1">
        <v>44053</v>
      </c>
      <c r="H696" s="1">
        <v>44060</v>
      </c>
      <c r="J696" t="s">
        <v>2264</v>
      </c>
      <c r="K696" t="s">
        <v>4355</v>
      </c>
      <c r="L696" t="s">
        <v>41</v>
      </c>
      <c r="M696" t="s">
        <v>4356</v>
      </c>
      <c r="N696">
        <v>330</v>
      </c>
      <c r="O696" t="s">
        <v>4357</v>
      </c>
      <c r="P696" t="s">
        <v>18</v>
      </c>
    </row>
    <row r="697" spans="1:16" x14ac:dyDescent="0.35">
      <c r="A697">
        <v>6305363</v>
      </c>
      <c r="B697" t="s">
        <v>4358</v>
      </c>
      <c r="C697" t="str">
        <f>""</f>
        <v/>
      </c>
      <c r="D697" t="str">
        <f>"9783110590586"</f>
        <v>9783110590586</v>
      </c>
      <c r="E697" t="s">
        <v>404</v>
      </c>
      <c r="F697" t="s">
        <v>404</v>
      </c>
      <c r="G697" s="1">
        <v>44053</v>
      </c>
      <c r="H697" s="1">
        <v>44060</v>
      </c>
      <c r="J697" t="s">
        <v>2979</v>
      </c>
      <c r="K697" t="s">
        <v>4359</v>
      </c>
      <c r="L697" t="s">
        <v>119</v>
      </c>
      <c r="M697" t="s">
        <v>4360</v>
      </c>
      <c r="N697">
        <v>668.41920000000005</v>
      </c>
      <c r="O697" t="s">
        <v>4361</v>
      </c>
      <c r="P697" t="s">
        <v>18</v>
      </c>
    </row>
    <row r="698" spans="1:16" x14ac:dyDescent="0.35">
      <c r="A698">
        <v>6945083</v>
      </c>
      <c r="B698" t="s">
        <v>4362</v>
      </c>
      <c r="C698" t="str">
        <f>""</f>
        <v/>
      </c>
      <c r="D698" t="str">
        <f>"9783110664317"</f>
        <v>9783110664317</v>
      </c>
      <c r="E698" t="s">
        <v>404</v>
      </c>
      <c r="F698" t="s">
        <v>404</v>
      </c>
      <c r="G698" s="1">
        <v>44053</v>
      </c>
      <c r="H698" s="1">
        <v>44655</v>
      </c>
      <c r="J698" t="s">
        <v>4363</v>
      </c>
      <c r="K698" t="s">
        <v>4364</v>
      </c>
      <c r="L698" t="s">
        <v>26</v>
      </c>
      <c r="M698" t="s">
        <v>4365</v>
      </c>
      <c r="N698">
        <v>338.92700000000002</v>
      </c>
      <c r="O698" t="s">
        <v>4366</v>
      </c>
      <c r="P698" t="s">
        <v>18</v>
      </c>
    </row>
    <row r="699" spans="1:16" x14ac:dyDescent="0.35">
      <c r="A699">
        <v>6314010</v>
      </c>
      <c r="B699" t="s">
        <v>4367</v>
      </c>
      <c r="C699" t="str">
        <f>"9781536183139"</f>
        <v>9781536183139</v>
      </c>
      <c r="D699" t="str">
        <f>"9781536183665"</f>
        <v>9781536183665</v>
      </c>
      <c r="E699" t="s">
        <v>1689</v>
      </c>
      <c r="F699" t="s">
        <v>1689</v>
      </c>
      <c r="G699" s="1">
        <v>44048</v>
      </c>
      <c r="H699" s="1">
        <v>44065</v>
      </c>
      <c r="I699">
        <v>1</v>
      </c>
      <c r="J699" t="s">
        <v>4368</v>
      </c>
      <c r="K699" t="s">
        <v>4369</v>
      </c>
      <c r="L699" t="s">
        <v>328</v>
      </c>
      <c r="M699" t="s">
        <v>4370</v>
      </c>
      <c r="N699">
        <v>557.28399999999999</v>
      </c>
      <c r="O699" t="s">
        <v>4371</v>
      </c>
      <c r="P699" t="s">
        <v>18</v>
      </c>
    </row>
    <row r="700" spans="1:16" x14ac:dyDescent="0.35">
      <c r="A700">
        <v>6215458</v>
      </c>
      <c r="B700" t="s">
        <v>4372</v>
      </c>
      <c r="C700" t="str">
        <f>"9781493052066"</f>
        <v>9781493052066</v>
      </c>
      <c r="D700" t="str">
        <f>"9781493053650"</f>
        <v>9781493053650</v>
      </c>
      <c r="E700" t="s">
        <v>4373</v>
      </c>
      <c r="F700" t="s">
        <v>4373</v>
      </c>
      <c r="G700" s="1">
        <v>44044</v>
      </c>
      <c r="H700" s="1">
        <v>43985</v>
      </c>
      <c r="I700">
        <v>2</v>
      </c>
      <c r="K700" t="s">
        <v>4374</v>
      </c>
      <c r="L700" t="s">
        <v>4375</v>
      </c>
      <c r="M700" t="s">
        <v>4376</v>
      </c>
      <c r="N700">
        <v>508.79446999999902</v>
      </c>
      <c r="O700" t="s">
        <v>4377</v>
      </c>
      <c r="P700" t="s">
        <v>18</v>
      </c>
    </row>
    <row r="701" spans="1:16" x14ac:dyDescent="0.35">
      <c r="A701">
        <v>6331287</v>
      </c>
      <c r="B701" t="s">
        <v>4378</v>
      </c>
      <c r="C701" t="str">
        <f>"9783161463464"</f>
        <v>9783161463464</v>
      </c>
      <c r="D701" t="str">
        <f>"9783161583704"</f>
        <v>9783161583704</v>
      </c>
      <c r="E701" t="s">
        <v>4379</v>
      </c>
      <c r="F701" t="s">
        <v>4379</v>
      </c>
      <c r="G701" s="1">
        <v>44044</v>
      </c>
      <c r="H701" s="1">
        <v>44077</v>
      </c>
      <c r="I701">
        <v>1</v>
      </c>
      <c r="J701" t="s">
        <v>4380</v>
      </c>
      <c r="K701" t="s">
        <v>4381</v>
      </c>
      <c r="L701" t="s">
        <v>41</v>
      </c>
      <c r="P701" t="s">
        <v>315</v>
      </c>
    </row>
    <row r="702" spans="1:16" x14ac:dyDescent="0.35">
      <c r="A702">
        <v>6229894</v>
      </c>
      <c r="B702" t="s">
        <v>4382</v>
      </c>
      <c r="C702" t="str">
        <f>"9781799855149"</f>
        <v>9781799855149</v>
      </c>
      <c r="D702" t="str">
        <f>"9781799855163"</f>
        <v>9781799855163</v>
      </c>
      <c r="E702" t="s">
        <v>138</v>
      </c>
      <c r="F702" t="s">
        <v>1789</v>
      </c>
      <c r="G702" s="1">
        <v>44043</v>
      </c>
      <c r="H702" s="1">
        <v>44001</v>
      </c>
      <c r="K702" t="s">
        <v>4383</v>
      </c>
      <c r="L702" t="s">
        <v>30</v>
      </c>
      <c r="M702" t="s">
        <v>4384</v>
      </c>
      <c r="N702" t="s">
        <v>363</v>
      </c>
      <c r="O702" t="s">
        <v>4385</v>
      </c>
      <c r="P702" t="s">
        <v>18</v>
      </c>
    </row>
    <row r="703" spans="1:16" x14ac:dyDescent="0.35">
      <c r="A703">
        <v>6275287</v>
      </c>
      <c r="B703" t="s">
        <v>4386</v>
      </c>
      <c r="C703" t="str">
        <f>"9781527555136"</f>
        <v>9781527555136</v>
      </c>
      <c r="D703" t="str">
        <f>"9781527556768"</f>
        <v>9781527556768</v>
      </c>
      <c r="E703" t="s">
        <v>1662</v>
      </c>
      <c r="F703" t="s">
        <v>1662</v>
      </c>
      <c r="G703" s="1">
        <v>44043</v>
      </c>
      <c r="H703" s="1">
        <v>44047</v>
      </c>
      <c r="K703" t="s">
        <v>4387</v>
      </c>
      <c r="L703" t="s">
        <v>172</v>
      </c>
      <c r="M703" t="s">
        <v>4388</v>
      </c>
      <c r="N703">
        <v>577.14499999999896</v>
      </c>
      <c r="O703" t="s">
        <v>4389</v>
      </c>
      <c r="P703" t="s">
        <v>18</v>
      </c>
    </row>
    <row r="704" spans="1:16" x14ac:dyDescent="0.35">
      <c r="A704">
        <v>6276300</v>
      </c>
      <c r="B704" t="s">
        <v>4390</v>
      </c>
      <c r="C704" t="str">
        <f>"9781799834526"</f>
        <v>9781799834526</v>
      </c>
      <c r="D704" t="str">
        <f>"9781799834540"</f>
        <v>9781799834540</v>
      </c>
      <c r="E704" t="s">
        <v>138</v>
      </c>
      <c r="F704" t="s">
        <v>1789</v>
      </c>
      <c r="G704" s="1">
        <v>44043</v>
      </c>
      <c r="H704" s="1">
        <v>44062</v>
      </c>
      <c r="K704" t="s">
        <v>4391</v>
      </c>
      <c r="L704" t="s">
        <v>41</v>
      </c>
      <c r="M704" t="s">
        <v>4392</v>
      </c>
      <c r="N704" t="s">
        <v>4393</v>
      </c>
      <c r="O704" t="s">
        <v>4394</v>
      </c>
      <c r="P704" t="s">
        <v>18</v>
      </c>
    </row>
    <row r="705" spans="1:16" x14ac:dyDescent="0.35">
      <c r="A705">
        <v>6341032</v>
      </c>
      <c r="B705" t="s">
        <v>4395</v>
      </c>
      <c r="C705" t="str">
        <f>"9781433176661"</f>
        <v>9781433176661</v>
      </c>
      <c r="D705" t="str">
        <f>"9781433176722"</f>
        <v>9781433176722</v>
      </c>
      <c r="E705" t="s">
        <v>2335</v>
      </c>
      <c r="F705" t="s">
        <v>2335</v>
      </c>
      <c r="G705" s="1">
        <v>44043</v>
      </c>
      <c r="H705" s="1">
        <v>44083</v>
      </c>
      <c r="I705">
        <v>1</v>
      </c>
      <c r="K705" t="s">
        <v>4396</v>
      </c>
      <c r="L705" t="s">
        <v>4397</v>
      </c>
      <c r="P705" t="s">
        <v>18</v>
      </c>
    </row>
    <row r="706" spans="1:16" x14ac:dyDescent="0.35">
      <c r="A706">
        <v>6266984</v>
      </c>
      <c r="B706" t="s">
        <v>4398</v>
      </c>
      <c r="C706" t="str">
        <f>"9781787690301"</f>
        <v>9781787690301</v>
      </c>
      <c r="D706" t="str">
        <f>"9781787690318"</f>
        <v>9781787690318</v>
      </c>
      <c r="E706" t="s">
        <v>187</v>
      </c>
      <c r="F706" t="s">
        <v>187</v>
      </c>
      <c r="G706" s="1">
        <v>44042</v>
      </c>
      <c r="H706" s="1">
        <v>44033</v>
      </c>
      <c r="J706" t="s">
        <v>4399</v>
      </c>
      <c r="K706" t="s">
        <v>4400</v>
      </c>
      <c r="L706" t="s">
        <v>38</v>
      </c>
      <c r="M706" t="s">
        <v>2810</v>
      </c>
      <c r="N706">
        <v>306.483</v>
      </c>
      <c r="O706" t="s">
        <v>4401</v>
      </c>
      <c r="P706" t="s">
        <v>18</v>
      </c>
    </row>
    <row r="707" spans="1:16" x14ac:dyDescent="0.35">
      <c r="A707">
        <v>6269236</v>
      </c>
      <c r="B707" t="s">
        <v>4402</v>
      </c>
      <c r="C707" t="str">
        <f>"9781536180268"</f>
        <v>9781536180268</v>
      </c>
      <c r="D707" t="str">
        <f>"9781536180374"</f>
        <v>9781536180374</v>
      </c>
      <c r="E707" t="s">
        <v>1689</v>
      </c>
      <c r="F707" t="s">
        <v>1689</v>
      </c>
      <c r="G707" s="1">
        <v>44042</v>
      </c>
      <c r="H707" s="1">
        <v>44037</v>
      </c>
      <c r="I707">
        <v>1</v>
      </c>
      <c r="J707" t="s">
        <v>3038</v>
      </c>
      <c r="K707" t="s">
        <v>4403</v>
      </c>
      <c r="L707" t="s">
        <v>3484</v>
      </c>
      <c r="P707" t="s">
        <v>18</v>
      </c>
    </row>
    <row r="708" spans="1:16" x14ac:dyDescent="0.35">
      <c r="A708">
        <v>6276063</v>
      </c>
      <c r="B708" t="s">
        <v>4404</v>
      </c>
      <c r="C708" t="str">
        <f>"9789004349445"</f>
        <v>9789004349445</v>
      </c>
      <c r="D708" t="str">
        <f>"9789004429574"</f>
        <v>9789004429574</v>
      </c>
      <c r="E708" t="s">
        <v>228</v>
      </c>
      <c r="F708" t="s">
        <v>228</v>
      </c>
      <c r="G708" s="1">
        <v>44042</v>
      </c>
      <c r="H708" s="1">
        <v>44054</v>
      </c>
      <c r="I708">
        <v>1</v>
      </c>
      <c r="J708" t="s">
        <v>4405</v>
      </c>
      <c r="K708" t="s">
        <v>4406</v>
      </c>
      <c r="L708" t="s">
        <v>168</v>
      </c>
      <c r="M708" t="s">
        <v>4407</v>
      </c>
      <c r="N708">
        <v>630.93979999999897</v>
      </c>
      <c r="O708" t="s">
        <v>4408</v>
      </c>
      <c r="P708" t="s">
        <v>18</v>
      </c>
    </row>
    <row r="709" spans="1:16" x14ac:dyDescent="0.35">
      <c r="A709">
        <v>6272950</v>
      </c>
      <c r="B709" t="s">
        <v>4409</v>
      </c>
      <c r="C709" t="str">
        <f>"9780128180020"</f>
        <v>9780128180020</v>
      </c>
      <c r="D709" t="str">
        <f>"9780128180037"</f>
        <v>9780128180037</v>
      </c>
      <c r="E709" t="s">
        <v>190</v>
      </c>
      <c r="F709" t="s">
        <v>282</v>
      </c>
      <c r="G709" s="1">
        <v>44041</v>
      </c>
      <c r="H709" s="1">
        <v>44043</v>
      </c>
      <c r="K709" t="s">
        <v>4410</v>
      </c>
      <c r="L709" t="s">
        <v>104</v>
      </c>
      <c r="M709" t="s">
        <v>4411</v>
      </c>
      <c r="N709">
        <v>628.11199999999997</v>
      </c>
      <c r="O709" t="s">
        <v>4412</v>
      </c>
      <c r="P709" t="s">
        <v>18</v>
      </c>
    </row>
    <row r="710" spans="1:16" x14ac:dyDescent="0.35">
      <c r="A710">
        <v>6263928</v>
      </c>
      <c r="B710" t="s">
        <v>4413</v>
      </c>
      <c r="C710" t="str">
        <f>"9781839109904"</f>
        <v>9781839109904</v>
      </c>
      <c r="D710" t="str">
        <f>"9781839109911"</f>
        <v>9781839109911</v>
      </c>
      <c r="E710" t="s">
        <v>2080</v>
      </c>
      <c r="F710" t="s">
        <v>2080</v>
      </c>
      <c r="G710" s="1">
        <v>44040</v>
      </c>
      <c r="H710" s="1">
        <v>44028</v>
      </c>
      <c r="J710" t="s">
        <v>2613</v>
      </c>
      <c r="K710" t="s">
        <v>4414</v>
      </c>
      <c r="L710" t="s">
        <v>4415</v>
      </c>
      <c r="M710" t="s">
        <v>4416</v>
      </c>
      <c r="N710" t="s">
        <v>128</v>
      </c>
      <c r="O710" t="s">
        <v>4417</v>
      </c>
      <c r="P710" t="s">
        <v>18</v>
      </c>
    </row>
    <row r="711" spans="1:16" x14ac:dyDescent="0.35">
      <c r="A711">
        <v>6268126</v>
      </c>
      <c r="B711" t="s">
        <v>4418</v>
      </c>
      <c r="C711" t="str">
        <f>"9781799846376"</f>
        <v>9781799846376</v>
      </c>
      <c r="D711" t="str">
        <f>"9781799846383"</f>
        <v>9781799846383</v>
      </c>
      <c r="E711" t="s">
        <v>138</v>
      </c>
      <c r="F711" t="s">
        <v>1769</v>
      </c>
      <c r="G711" s="1">
        <v>44036</v>
      </c>
      <c r="H711" s="1">
        <v>44035</v>
      </c>
      <c r="K711" t="s">
        <v>4419</v>
      </c>
      <c r="L711" t="s">
        <v>28</v>
      </c>
      <c r="M711" t="s">
        <v>4420</v>
      </c>
      <c r="N711">
        <v>658.40800000000002</v>
      </c>
      <c r="O711" t="s">
        <v>285</v>
      </c>
      <c r="P711" t="s">
        <v>18</v>
      </c>
    </row>
    <row r="712" spans="1:16" x14ac:dyDescent="0.35">
      <c r="A712">
        <v>6269324</v>
      </c>
      <c r="B712" t="s">
        <v>4421</v>
      </c>
      <c r="C712" t="str">
        <f>"9780128190012"</f>
        <v>9780128190012</v>
      </c>
      <c r="D712" t="str">
        <f>"9780128190043"</f>
        <v>9780128190043</v>
      </c>
      <c r="E712" t="s">
        <v>1699</v>
      </c>
      <c r="F712" t="s">
        <v>1699</v>
      </c>
      <c r="G712" s="1">
        <v>44034</v>
      </c>
      <c r="H712" s="1">
        <v>44037</v>
      </c>
      <c r="K712" t="s">
        <v>4422</v>
      </c>
      <c r="L712" t="s">
        <v>113</v>
      </c>
      <c r="M712" t="s">
        <v>4423</v>
      </c>
      <c r="N712">
        <v>628.5</v>
      </c>
      <c r="O712" t="s">
        <v>4424</v>
      </c>
      <c r="P712" t="s">
        <v>18</v>
      </c>
    </row>
    <row r="713" spans="1:16" x14ac:dyDescent="0.35">
      <c r="A713">
        <v>6263927</v>
      </c>
      <c r="B713" t="s">
        <v>4425</v>
      </c>
      <c r="C713" t="str">
        <f>"9781788979719"</f>
        <v>9781788979719</v>
      </c>
      <c r="D713" t="str">
        <f>"9781788979726"</f>
        <v>9781788979726</v>
      </c>
      <c r="E713" t="s">
        <v>2080</v>
      </c>
      <c r="F713" t="s">
        <v>2080</v>
      </c>
      <c r="G713" s="1">
        <v>44033</v>
      </c>
      <c r="H713" s="1">
        <v>44028</v>
      </c>
      <c r="J713" t="s">
        <v>3028</v>
      </c>
      <c r="K713" t="s">
        <v>4426</v>
      </c>
      <c r="L713" t="s">
        <v>308</v>
      </c>
      <c r="M713" t="s">
        <v>4427</v>
      </c>
      <c r="N713">
        <v>338.47910000000002</v>
      </c>
      <c r="O713" t="s">
        <v>4428</v>
      </c>
      <c r="P713" t="s">
        <v>18</v>
      </c>
    </row>
    <row r="714" spans="1:16" x14ac:dyDescent="0.35">
      <c r="A714">
        <v>6478601</v>
      </c>
      <c r="B714" t="s">
        <v>4429</v>
      </c>
      <c r="C714" t="str">
        <f>"9783110604627"</f>
        <v>9783110604627</v>
      </c>
      <c r="D714" t="str">
        <f>"9783110607888"</f>
        <v>9783110607888</v>
      </c>
      <c r="E714" t="s">
        <v>404</v>
      </c>
      <c r="F714" t="s">
        <v>4430</v>
      </c>
      <c r="G714" s="1">
        <v>44032</v>
      </c>
      <c r="H714" s="1">
        <v>44242</v>
      </c>
      <c r="K714" t="s">
        <v>4431</v>
      </c>
      <c r="L714" t="s">
        <v>41</v>
      </c>
      <c r="M714" t="s">
        <v>4432</v>
      </c>
      <c r="N714">
        <v>332.1</v>
      </c>
      <c r="O714" t="s">
        <v>503</v>
      </c>
      <c r="P714" t="s">
        <v>18</v>
      </c>
    </row>
    <row r="715" spans="1:16" x14ac:dyDescent="0.35">
      <c r="A715">
        <v>6297985</v>
      </c>
      <c r="B715" t="s">
        <v>4433</v>
      </c>
      <c r="C715" t="str">
        <f>"9781536181807"</f>
        <v>9781536181807</v>
      </c>
      <c r="D715" t="str">
        <f>"9781536182095"</f>
        <v>9781536182095</v>
      </c>
      <c r="E715" t="s">
        <v>1689</v>
      </c>
      <c r="F715" t="s">
        <v>1689</v>
      </c>
      <c r="G715" s="1">
        <v>44029</v>
      </c>
      <c r="H715" s="1">
        <v>44057</v>
      </c>
      <c r="I715">
        <v>1</v>
      </c>
      <c r="J715" t="s">
        <v>4434</v>
      </c>
      <c r="K715" t="s">
        <v>4435</v>
      </c>
      <c r="L715" t="s">
        <v>165</v>
      </c>
      <c r="M715" t="s">
        <v>4436</v>
      </c>
      <c r="N715">
        <v>621.04202856300003</v>
      </c>
      <c r="O715" t="s">
        <v>4437</v>
      </c>
      <c r="P715" t="s">
        <v>18</v>
      </c>
    </row>
    <row r="716" spans="1:16" x14ac:dyDescent="0.35">
      <c r="A716">
        <v>6230089</v>
      </c>
      <c r="B716" t="s">
        <v>4438</v>
      </c>
      <c r="C716" t="str">
        <f>"9780309675857"</f>
        <v>9780309675857</v>
      </c>
      <c r="D716" t="str">
        <f>"9780309675864"</f>
        <v>9780309675864</v>
      </c>
      <c r="E716" t="s">
        <v>531</v>
      </c>
      <c r="F716" t="s">
        <v>531</v>
      </c>
      <c r="G716" s="1">
        <v>44028</v>
      </c>
      <c r="H716" s="1">
        <v>44001</v>
      </c>
      <c r="I716">
        <v>1</v>
      </c>
      <c r="K716" t="s">
        <v>4439</v>
      </c>
      <c r="L716" t="s">
        <v>36</v>
      </c>
      <c r="P716" t="s">
        <v>18</v>
      </c>
    </row>
    <row r="717" spans="1:16" x14ac:dyDescent="0.35">
      <c r="A717">
        <v>6276408</v>
      </c>
      <c r="B717" t="s">
        <v>4440</v>
      </c>
      <c r="C717" t="str">
        <f>"9781786994097"</f>
        <v>9781786994097</v>
      </c>
      <c r="D717" t="str">
        <f>"9781786994127"</f>
        <v>9781786994127</v>
      </c>
      <c r="E717" t="s">
        <v>392</v>
      </c>
      <c r="F717" t="s">
        <v>393</v>
      </c>
      <c r="G717" s="1">
        <v>44027</v>
      </c>
      <c r="H717" s="1">
        <v>44049</v>
      </c>
      <c r="I717">
        <v>1</v>
      </c>
      <c r="J717" t="s">
        <v>2282</v>
      </c>
      <c r="K717" t="s">
        <v>4441</v>
      </c>
      <c r="L717" t="s">
        <v>38</v>
      </c>
      <c r="M717" t="s">
        <v>4442</v>
      </c>
      <c r="N717">
        <v>307.1216</v>
      </c>
      <c r="O717" t="s">
        <v>4443</v>
      </c>
      <c r="P717" t="s">
        <v>18</v>
      </c>
    </row>
    <row r="718" spans="1:16" x14ac:dyDescent="0.35">
      <c r="A718">
        <v>6261079</v>
      </c>
      <c r="B718" t="s">
        <v>4444</v>
      </c>
      <c r="C718" t="str">
        <f>"9780444643094"</f>
        <v>9780444643094</v>
      </c>
      <c r="D718" t="str">
        <f>"9780444643100"</f>
        <v>9780444643100</v>
      </c>
      <c r="E718" t="s">
        <v>1699</v>
      </c>
      <c r="F718" t="s">
        <v>1699</v>
      </c>
      <c r="G718" s="1">
        <v>44022</v>
      </c>
      <c r="H718" s="1">
        <v>44024</v>
      </c>
      <c r="K718" t="s">
        <v>4445</v>
      </c>
      <c r="L718" t="s">
        <v>76</v>
      </c>
      <c r="M718" t="s">
        <v>4446</v>
      </c>
      <c r="N718">
        <v>660.6</v>
      </c>
      <c r="O718" t="s">
        <v>4447</v>
      </c>
      <c r="P718" t="s">
        <v>18</v>
      </c>
    </row>
    <row r="719" spans="1:16" x14ac:dyDescent="0.35">
      <c r="A719">
        <v>6210967</v>
      </c>
      <c r="B719" t="s">
        <v>4448</v>
      </c>
      <c r="C719" t="str">
        <f>"9781350076020"</f>
        <v>9781350076020</v>
      </c>
      <c r="D719" t="str">
        <f>"9781350076051"</f>
        <v>9781350076051</v>
      </c>
      <c r="E719" t="s">
        <v>354</v>
      </c>
      <c r="F719" t="s">
        <v>355</v>
      </c>
      <c r="G719" s="1">
        <v>44021</v>
      </c>
      <c r="H719" s="1">
        <v>43980</v>
      </c>
      <c r="J719" t="s">
        <v>4449</v>
      </c>
      <c r="K719" t="s">
        <v>4450</v>
      </c>
      <c r="L719" t="s">
        <v>24</v>
      </c>
      <c r="M719" t="s">
        <v>4451</v>
      </c>
      <c r="N719">
        <v>809.91120000000001</v>
      </c>
      <c r="O719" t="s">
        <v>329</v>
      </c>
      <c r="P719" t="s">
        <v>18</v>
      </c>
    </row>
    <row r="720" spans="1:16" x14ac:dyDescent="0.35">
      <c r="A720">
        <v>6234061</v>
      </c>
      <c r="B720" t="s">
        <v>4452</v>
      </c>
      <c r="C720" t="str">
        <f>"9781350067042"</f>
        <v>9781350067042</v>
      </c>
      <c r="D720" t="str">
        <f>"9781350067066"</f>
        <v>9781350067066</v>
      </c>
      <c r="E720" t="s">
        <v>539</v>
      </c>
      <c r="F720" t="s">
        <v>540</v>
      </c>
      <c r="G720" s="1">
        <v>44021</v>
      </c>
      <c r="H720" s="1">
        <v>44006</v>
      </c>
      <c r="I720">
        <v>2</v>
      </c>
      <c r="J720" t="s">
        <v>4453</v>
      </c>
      <c r="K720" t="s">
        <v>4454</v>
      </c>
      <c r="L720" t="s">
        <v>27</v>
      </c>
      <c r="M720" t="s">
        <v>4455</v>
      </c>
      <c r="N720">
        <v>746.92</v>
      </c>
      <c r="O720" t="s">
        <v>4456</v>
      </c>
      <c r="P720" t="s">
        <v>18</v>
      </c>
    </row>
    <row r="721" spans="1:16" x14ac:dyDescent="0.35">
      <c r="A721">
        <v>6240634</v>
      </c>
      <c r="B721" t="s">
        <v>4457</v>
      </c>
      <c r="C721" t="str">
        <f>"9781536179453"</f>
        <v>9781536179453</v>
      </c>
      <c r="D721" t="str">
        <f>"9781536179460"</f>
        <v>9781536179460</v>
      </c>
      <c r="E721" t="s">
        <v>1689</v>
      </c>
      <c r="F721" t="s">
        <v>1689</v>
      </c>
      <c r="G721" s="1">
        <v>44021</v>
      </c>
      <c r="H721" s="1">
        <v>44012</v>
      </c>
      <c r="I721">
        <v>1</v>
      </c>
      <c r="J721" t="s">
        <v>4458</v>
      </c>
      <c r="K721" t="s">
        <v>4459</v>
      </c>
      <c r="L721" t="s">
        <v>76</v>
      </c>
      <c r="N721">
        <v>660.62</v>
      </c>
      <c r="P721" t="s">
        <v>18</v>
      </c>
    </row>
    <row r="722" spans="1:16" x14ac:dyDescent="0.35">
      <c r="A722">
        <v>6254237</v>
      </c>
      <c r="B722" t="s">
        <v>4460</v>
      </c>
      <c r="C722" t="str">
        <f>"9781536180794"</f>
        <v>9781536180794</v>
      </c>
      <c r="D722" t="str">
        <f>"9781536181326"</f>
        <v>9781536181326</v>
      </c>
      <c r="E722" t="s">
        <v>1689</v>
      </c>
      <c r="F722" t="s">
        <v>1689</v>
      </c>
      <c r="G722" s="1">
        <v>44021</v>
      </c>
      <c r="H722" s="1">
        <v>44020</v>
      </c>
      <c r="I722">
        <v>1</v>
      </c>
      <c r="J722" t="s">
        <v>3038</v>
      </c>
      <c r="K722" t="s">
        <v>4461</v>
      </c>
      <c r="L722" t="s">
        <v>168</v>
      </c>
      <c r="N722">
        <v>635.25</v>
      </c>
      <c r="P722" t="s">
        <v>18</v>
      </c>
    </row>
    <row r="723" spans="1:16" x14ac:dyDescent="0.35">
      <c r="A723">
        <v>6272144</v>
      </c>
      <c r="B723" t="s">
        <v>4462</v>
      </c>
      <c r="C723" t="str">
        <f>"9783736972292"</f>
        <v>9783736972292</v>
      </c>
      <c r="D723" t="str">
        <f>"9783736962293"</f>
        <v>9783736962293</v>
      </c>
      <c r="E723" t="s">
        <v>2357</v>
      </c>
      <c r="F723" t="s">
        <v>2357</v>
      </c>
      <c r="G723" s="1">
        <v>44019</v>
      </c>
      <c r="H723" s="1">
        <v>44042</v>
      </c>
      <c r="I723">
        <v>1</v>
      </c>
      <c r="K723" t="s">
        <v>4463</v>
      </c>
      <c r="L723" t="s">
        <v>113</v>
      </c>
      <c r="M723" t="s">
        <v>4464</v>
      </c>
      <c r="N723">
        <v>628.53200000000004</v>
      </c>
      <c r="O723" t="s">
        <v>4465</v>
      </c>
      <c r="P723" t="s">
        <v>18</v>
      </c>
    </row>
    <row r="724" spans="1:16" x14ac:dyDescent="0.35">
      <c r="A724">
        <v>5606437</v>
      </c>
      <c r="B724" t="s">
        <v>4466</v>
      </c>
      <c r="C724" t="str">
        <f>"9781498559669"</f>
        <v>9781498559669</v>
      </c>
      <c r="D724" t="str">
        <f>"9781498559676"</f>
        <v>9781498559676</v>
      </c>
      <c r="E724" t="s">
        <v>446</v>
      </c>
      <c r="F724" t="s">
        <v>446</v>
      </c>
      <c r="G724" s="1">
        <v>44018</v>
      </c>
      <c r="H724" s="1">
        <v>43434</v>
      </c>
      <c r="K724" t="s">
        <v>4467</v>
      </c>
      <c r="L724" t="s">
        <v>62</v>
      </c>
      <c r="P724" t="s">
        <v>18</v>
      </c>
    </row>
    <row r="725" spans="1:16" x14ac:dyDescent="0.35">
      <c r="A725">
        <v>6219783</v>
      </c>
      <c r="B725" t="s">
        <v>4468</v>
      </c>
      <c r="C725" t="str">
        <f>"9780309677219"</f>
        <v>9780309677219</v>
      </c>
      <c r="D725" t="str">
        <f>"9780309677226"</f>
        <v>9780309677226</v>
      </c>
      <c r="E725" t="s">
        <v>531</v>
      </c>
      <c r="F725" t="s">
        <v>531</v>
      </c>
      <c r="G725" s="1">
        <v>44016</v>
      </c>
      <c r="H725" s="1">
        <v>43987</v>
      </c>
      <c r="I725">
        <v>1</v>
      </c>
      <c r="K725" t="s">
        <v>4469</v>
      </c>
      <c r="L725" t="s">
        <v>4470</v>
      </c>
      <c r="P725" t="s">
        <v>18</v>
      </c>
    </row>
    <row r="726" spans="1:16" x14ac:dyDescent="0.35">
      <c r="A726">
        <v>6233771</v>
      </c>
      <c r="B726" t="s">
        <v>4471</v>
      </c>
      <c r="C726" t="str">
        <f>"9781498579964"</f>
        <v>9781498579964</v>
      </c>
      <c r="D726" t="str">
        <f>"9781498579971"</f>
        <v>9781498579971</v>
      </c>
      <c r="E726" t="s">
        <v>446</v>
      </c>
      <c r="F726" t="s">
        <v>446</v>
      </c>
      <c r="G726" s="1">
        <v>44014</v>
      </c>
      <c r="H726" s="1">
        <v>44006</v>
      </c>
      <c r="J726" t="s">
        <v>4472</v>
      </c>
      <c r="K726" t="s">
        <v>4473</v>
      </c>
      <c r="L726" t="s">
        <v>360</v>
      </c>
      <c r="M726" t="s">
        <v>4474</v>
      </c>
      <c r="N726">
        <v>530.11</v>
      </c>
      <c r="O726" t="s">
        <v>4475</v>
      </c>
      <c r="P726" t="s">
        <v>18</v>
      </c>
    </row>
    <row r="727" spans="1:16" x14ac:dyDescent="0.35">
      <c r="A727">
        <v>6242917</v>
      </c>
      <c r="B727" t="s">
        <v>4476</v>
      </c>
      <c r="C727" t="str">
        <f>"9780128183762"</f>
        <v>9780128183762</v>
      </c>
      <c r="D727" t="str">
        <f>"9780128189344"</f>
        <v>9780128189344</v>
      </c>
      <c r="E727" t="s">
        <v>1699</v>
      </c>
      <c r="F727" t="s">
        <v>1699</v>
      </c>
      <c r="G727" s="1">
        <v>44014</v>
      </c>
      <c r="H727" s="1">
        <v>44014</v>
      </c>
      <c r="K727" t="s">
        <v>4477</v>
      </c>
      <c r="L727" t="s">
        <v>118</v>
      </c>
      <c r="M727" t="s">
        <v>4478</v>
      </c>
      <c r="N727">
        <v>660.02859999999998</v>
      </c>
      <c r="O727" t="s">
        <v>4479</v>
      </c>
      <c r="P727" t="s">
        <v>18</v>
      </c>
    </row>
    <row r="728" spans="1:16" x14ac:dyDescent="0.35">
      <c r="A728">
        <v>6492551</v>
      </c>
      <c r="B728" t="s">
        <v>4480</v>
      </c>
      <c r="C728" t="str">
        <f>"9783510614028"</f>
        <v>9783510614028</v>
      </c>
      <c r="D728" t="str">
        <f>"9783510655069"</f>
        <v>9783510655069</v>
      </c>
      <c r="E728" t="s">
        <v>4481</v>
      </c>
      <c r="F728" t="s">
        <v>4482</v>
      </c>
      <c r="G728" s="1">
        <v>44014</v>
      </c>
      <c r="H728" s="1">
        <v>44253</v>
      </c>
      <c r="K728" t="s">
        <v>4483</v>
      </c>
      <c r="L728" t="s">
        <v>4484</v>
      </c>
      <c r="M728" t="s">
        <v>4485</v>
      </c>
      <c r="N728">
        <v>579.87</v>
      </c>
      <c r="O728" t="s">
        <v>4486</v>
      </c>
      <c r="P728" t="s">
        <v>18</v>
      </c>
    </row>
    <row r="729" spans="1:16" x14ac:dyDescent="0.35">
      <c r="A729">
        <v>6144769</v>
      </c>
      <c r="B729" t="s">
        <v>4487</v>
      </c>
      <c r="C729" t="str">
        <f>""</f>
        <v/>
      </c>
      <c r="D729" t="str">
        <f>"9781799802280"</f>
        <v>9781799802280</v>
      </c>
      <c r="E729" t="s">
        <v>138</v>
      </c>
      <c r="F729" t="s">
        <v>138</v>
      </c>
      <c r="G729" s="1">
        <v>44013</v>
      </c>
      <c r="H729" s="1">
        <v>43916</v>
      </c>
      <c r="K729" t="s">
        <v>2410</v>
      </c>
      <c r="L729" t="s">
        <v>38</v>
      </c>
      <c r="M729" t="s">
        <v>4488</v>
      </c>
      <c r="N729">
        <v>304.2</v>
      </c>
      <c r="O729" t="s">
        <v>2412</v>
      </c>
      <c r="P729" t="s">
        <v>18</v>
      </c>
    </row>
    <row r="730" spans="1:16" x14ac:dyDescent="0.35">
      <c r="A730">
        <v>6219950</v>
      </c>
      <c r="B730" t="s">
        <v>4489</v>
      </c>
      <c r="C730" t="str">
        <f>"9781440868566"</f>
        <v>9781440868566</v>
      </c>
      <c r="D730" t="str">
        <f>"9781440868573"</f>
        <v>9781440868573</v>
      </c>
      <c r="E730" t="s">
        <v>440</v>
      </c>
      <c r="F730" t="s">
        <v>440</v>
      </c>
      <c r="G730" s="1">
        <v>44013</v>
      </c>
      <c r="H730" s="1">
        <v>43987</v>
      </c>
      <c r="J730" t="s">
        <v>4490</v>
      </c>
      <c r="K730" t="s">
        <v>4491</v>
      </c>
      <c r="L730" t="s">
        <v>4492</v>
      </c>
      <c r="M730" t="s">
        <v>4493</v>
      </c>
      <c r="N730">
        <v>201.77</v>
      </c>
      <c r="O730" t="s">
        <v>4494</v>
      </c>
      <c r="P730" t="s">
        <v>18</v>
      </c>
    </row>
    <row r="731" spans="1:16" x14ac:dyDescent="0.35">
      <c r="A731">
        <v>6220276</v>
      </c>
      <c r="B731" t="s">
        <v>4495</v>
      </c>
      <c r="C731" t="str">
        <f>"9781789207668"</f>
        <v>9781789207668</v>
      </c>
      <c r="D731" t="str">
        <f>"9781789207675"</f>
        <v>9781789207675</v>
      </c>
      <c r="E731" t="s">
        <v>447</v>
      </c>
      <c r="F731" t="s">
        <v>447</v>
      </c>
      <c r="G731" s="1">
        <v>44013</v>
      </c>
      <c r="H731" s="1">
        <v>43988</v>
      </c>
      <c r="I731">
        <v>1</v>
      </c>
      <c r="J731" t="s">
        <v>4079</v>
      </c>
      <c r="K731" t="s">
        <v>4496</v>
      </c>
      <c r="L731" t="s">
        <v>168</v>
      </c>
      <c r="M731" t="s">
        <v>4497</v>
      </c>
      <c r="P731" t="s">
        <v>18</v>
      </c>
    </row>
    <row r="732" spans="1:16" x14ac:dyDescent="0.35">
      <c r="A732">
        <v>6240631</v>
      </c>
      <c r="B732" t="s">
        <v>4498</v>
      </c>
      <c r="C732" t="str">
        <f>"9781536178906"</f>
        <v>9781536178906</v>
      </c>
      <c r="D732" t="str">
        <f>"9781536178913"</f>
        <v>9781536178913</v>
      </c>
      <c r="E732" t="s">
        <v>1689</v>
      </c>
      <c r="F732" t="s">
        <v>1689</v>
      </c>
      <c r="G732" s="1">
        <v>44013</v>
      </c>
      <c r="H732" s="1">
        <v>44012</v>
      </c>
      <c r="I732">
        <v>1</v>
      </c>
      <c r="J732" t="s">
        <v>3145</v>
      </c>
      <c r="K732" t="s">
        <v>4499</v>
      </c>
      <c r="L732" t="s">
        <v>172</v>
      </c>
      <c r="N732">
        <v>578.62</v>
      </c>
      <c r="P732" t="s">
        <v>18</v>
      </c>
    </row>
    <row r="733" spans="1:16" x14ac:dyDescent="0.35">
      <c r="A733">
        <v>6240636</v>
      </c>
      <c r="B733" t="s">
        <v>4500</v>
      </c>
      <c r="C733" t="str">
        <f>"9781536180169"</f>
        <v>9781536180169</v>
      </c>
      <c r="D733" t="str">
        <f>"9781536180176"</f>
        <v>9781536180176</v>
      </c>
      <c r="E733" t="s">
        <v>1689</v>
      </c>
      <c r="F733" t="s">
        <v>1689</v>
      </c>
      <c r="G733" s="1">
        <v>44013</v>
      </c>
      <c r="H733" s="1">
        <v>44012</v>
      </c>
      <c r="I733">
        <v>1</v>
      </c>
      <c r="J733" t="s">
        <v>4501</v>
      </c>
      <c r="K733" t="s">
        <v>4502</v>
      </c>
      <c r="L733" t="s">
        <v>38</v>
      </c>
      <c r="N733">
        <v>307.72094600000003</v>
      </c>
      <c r="P733" t="s">
        <v>18</v>
      </c>
    </row>
    <row r="734" spans="1:16" x14ac:dyDescent="0.35">
      <c r="A734">
        <v>6242928</v>
      </c>
      <c r="B734" t="s">
        <v>4503</v>
      </c>
      <c r="C734" t="str">
        <f>""</f>
        <v/>
      </c>
      <c r="D734" t="str">
        <f>"9781522583479"</f>
        <v>9781522583479</v>
      </c>
      <c r="E734" t="s">
        <v>138</v>
      </c>
      <c r="F734" t="s">
        <v>138</v>
      </c>
      <c r="G734" s="1">
        <v>44013</v>
      </c>
      <c r="H734" s="1">
        <v>44014</v>
      </c>
      <c r="K734" t="s">
        <v>2522</v>
      </c>
      <c r="L734" t="s">
        <v>104</v>
      </c>
      <c r="M734" t="s">
        <v>4504</v>
      </c>
      <c r="N734">
        <v>628</v>
      </c>
      <c r="O734" t="s">
        <v>2820</v>
      </c>
      <c r="P734" t="s">
        <v>18</v>
      </c>
    </row>
    <row r="735" spans="1:16" x14ac:dyDescent="0.35">
      <c r="A735">
        <v>6254257</v>
      </c>
      <c r="B735" t="s">
        <v>4505</v>
      </c>
      <c r="C735" t="str">
        <f>"9781536179934"</f>
        <v>9781536179934</v>
      </c>
      <c r="D735" t="str">
        <f>"9781536179941"</f>
        <v>9781536179941</v>
      </c>
      <c r="E735" t="s">
        <v>1689</v>
      </c>
      <c r="F735" t="s">
        <v>1689</v>
      </c>
      <c r="G735" s="1">
        <v>44013</v>
      </c>
      <c r="H735" s="1">
        <v>44020</v>
      </c>
      <c r="I735">
        <v>1</v>
      </c>
      <c r="J735" t="s">
        <v>3786</v>
      </c>
      <c r="K735" t="s">
        <v>4506</v>
      </c>
      <c r="L735" t="s">
        <v>163</v>
      </c>
      <c r="M735" t="s">
        <v>4507</v>
      </c>
      <c r="N735">
        <v>363.738</v>
      </c>
      <c r="O735" t="s">
        <v>4508</v>
      </c>
      <c r="P735" t="s">
        <v>18</v>
      </c>
    </row>
    <row r="736" spans="1:16" x14ac:dyDescent="0.35">
      <c r="A736">
        <v>6270722</v>
      </c>
      <c r="B736" t="s">
        <v>4509</v>
      </c>
      <c r="C736" t="str">
        <f>""</f>
        <v/>
      </c>
      <c r="D736" t="str">
        <f>"9781799808404"</f>
        <v>9781799808404</v>
      </c>
      <c r="E736" t="s">
        <v>138</v>
      </c>
      <c r="F736" t="s">
        <v>138</v>
      </c>
      <c r="G736" s="1">
        <v>44013</v>
      </c>
      <c r="H736" s="1">
        <v>44041</v>
      </c>
      <c r="K736" t="s">
        <v>2824</v>
      </c>
      <c r="L736" t="s">
        <v>110</v>
      </c>
      <c r="M736" t="s">
        <v>4510</v>
      </c>
      <c r="N736">
        <v>174.4</v>
      </c>
      <c r="O736" t="s">
        <v>4511</v>
      </c>
      <c r="P736" t="s">
        <v>18</v>
      </c>
    </row>
    <row r="737" spans="1:16" x14ac:dyDescent="0.35">
      <c r="A737">
        <v>6446652</v>
      </c>
      <c r="B737" t="s">
        <v>4512</v>
      </c>
      <c r="C737" t="str">
        <f>""</f>
        <v/>
      </c>
      <c r="D737" t="str">
        <f>"9781799807995"</f>
        <v>9781799807995</v>
      </c>
      <c r="E737" t="s">
        <v>138</v>
      </c>
      <c r="F737" t="s">
        <v>138</v>
      </c>
      <c r="G737" s="1">
        <v>44013</v>
      </c>
      <c r="H737" s="1">
        <v>44194</v>
      </c>
      <c r="K737" t="s">
        <v>3292</v>
      </c>
      <c r="L737" t="s">
        <v>300</v>
      </c>
      <c r="M737" t="s">
        <v>4513</v>
      </c>
      <c r="N737">
        <v>929.37400000000002</v>
      </c>
      <c r="O737" t="s">
        <v>4514</v>
      </c>
      <c r="P737" t="s">
        <v>18</v>
      </c>
    </row>
    <row r="738" spans="1:16" x14ac:dyDescent="0.35">
      <c r="A738">
        <v>6234253</v>
      </c>
      <c r="B738" t="s">
        <v>4515</v>
      </c>
      <c r="C738" t="str">
        <f>"9781799846017"</f>
        <v>9781799846017</v>
      </c>
      <c r="D738" t="str">
        <f>"9781799846031"</f>
        <v>9781799846031</v>
      </c>
      <c r="E738" t="s">
        <v>138</v>
      </c>
      <c r="F738" t="s">
        <v>1769</v>
      </c>
      <c r="G738" s="1">
        <v>44008</v>
      </c>
      <c r="H738" s="1">
        <v>44036</v>
      </c>
      <c r="K738" t="s">
        <v>2522</v>
      </c>
      <c r="L738" t="s">
        <v>28</v>
      </c>
      <c r="M738" t="s">
        <v>4516</v>
      </c>
      <c r="N738">
        <v>658.7</v>
      </c>
      <c r="O738" t="s">
        <v>4517</v>
      </c>
      <c r="P738" t="s">
        <v>18</v>
      </c>
    </row>
    <row r="739" spans="1:16" x14ac:dyDescent="0.35">
      <c r="A739">
        <v>6425942</v>
      </c>
      <c r="B739" t="s">
        <v>4518</v>
      </c>
      <c r="C739" t="str">
        <f>"9781799843306"</f>
        <v>9781799843306</v>
      </c>
      <c r="D739" t="str">
        <f>"9781799843313"</f>
        <v>9781799843313</v>
      </c>
      <c r="E739" t="s">
        <v>138</v>
      </c>
      <c r="F739" t="s">
        <v>1769</v>
      </c>
      <c r="G739" s="1">
        <v>44008</v>
      </c>
      <c r="H739" s="1">
        <v>44182</v>
      </c>
      <c r="K739" t="s">
        <v>4519</v>
      </c>
      <c r="L739" t="s">
        <v>308</v>
      </c>
      <c r="M739" t="s">
        <v>4520</v>
      </c>
      <c r="N739">
        <v>338.47910000000002</v>
      </c>
      <c r="O739" t="s">
        <v>4521</v>
      </c>
      <c r="P739" t="s">
        <v>18</v>
      </c>
    </row>
    <row r="740" spans="1:16" x14ac:dyDescent="0.35">
      <c r="A740">
        <v>6240624</v>
      </c>
      <c r="B740" t="s">
        <v>4522</v>
      </c>
      <c r="C740" t="str">
        <f>"9781536178234"</f>
        <v>9781536178234</v>
      </c>
      <c r="D740" t="str">
        <f>"9781536178241"</f>
        <v>9781536178241</v>
      </c>
      <c r="E740" t="s">
        <v>1689</v>
      </c>
      <c r="F740" t="s">
        <v>1689</v>
      </c>
      <c r="G740" s="1">
        <v>44006</v>
      </c>
      <c r="H740" s="1">
        <v>44012</v>
      </c>
      <c r="I740">
        <v>1</v>
      </c>
      <c r="J740" t="s">
        <v>4523</v>
      </c>
      <c r="K740" t="s">
        <v>4524</v>
      </c>
      <c r="L740" t="s">
        <v>124</v>
      </c>
      <c r="P740" t="s">
        <v>18</v>
      </c>
    </row>
    <row r="741" spans="1:16" x14ac:dyDescent="0.35">
      <c r="A741">
        <v>6268534</v>
      </c>
      <c r="B741" t="s">
        <v>4525</v>
      </c>
      <c r="C741" t="str">
        <f>"9781786348142"</f>
        <v>9781786348142</v>
      </c>
      <c r="D741" t="str">
        <f>"9781786348159"</f>
        <v>9781786348159</v>
      </c>
      <c r="E741" t="s">
        <v>184</v>
      </c>
      <c r="F741" t="s">
        <v>2401</v>
      </c>
      <c r="G741" s="1">
        <v>44006</v>
      </c>
      <c r="H741" s="1">
        <v>44036</v>
      </c>
      <c r="K741" t="s">
        <v>4526</v>
      </c>
      <c r="L741" t="s">
        <v>53</v>
      </c>
      <c r="M741" t="s">
        <v>4527</v>
      </c>
      <c r="N741">
        <v>363.73874561093902</v>
      </c>
      <c r="O741" t="s">
        <v>4528</v>
      </c>
      <c r="P741" t="s">
        <v>18</v>
      </c>
    </row>
    <row r="742" spans="1:16" x14ac:dyDescent="0.35">
      <c r="A742">
        <v>6478630</v>
      </c>
      <c r="B742" t="s">
        <v>4529</v>
      </c>
      <c r="C742" t="str">
        <f>""</f>
        <v/>
      </c>
      <c r="D742" t="str">
        <f>"9783110648034"</f>
        <v>9783110648034</v>
      </c>
      <c r="E742" t="s">
        <v>404</v>
      </c>
      <c r="F742" t="s">
        <v>404</v>
      </c>
      <c r="G742" s="1">
        <v>44004</v>
      </c>
      <c r="H742" s="1">
        <v>44242</v>
      </c>
      <c r="K742" t="s">
        <v>4530</v>
      </c>
      <c r="L742" t="s">
        <v>118</v>
      </c>
      <c r="M742" t="s">
        <v>4531</v>
      </c>
      <c r="N742">
        <v>664.09</v>
      </c>
      <c r="O742" t="s">
        <v>4532</v>
      </c>
      <c r="P742" t="s">
        <v>18</v>
      </c>
    </row>
    <row r="743" spans="1:16" x14ac:dyDescent="0.35">
      <c r="A743">
        <v>6202673</v>
      </c>
      <c r="B743" t="s">
        <v>4533</v>
      </c>
      <c r="C743" t="str">
        <f>"9781799827283"</f>
        <v>9781799827283</v>
      </c>
      <c r="D743" t="str">
        <f>"9781799827290"</f>
        <v>9781799827290</v>
      </c>
      <c r="E743" t="s">
        <v>138</v>
      </c>
      <c r="F743" t="s">
        <v>1769</v>
      </c>
      <c r="G743" s="1">
        <v>44001</v>
      </c>
      <c r="H743" s="1">
        <v>43972</v>
      </c>
      <c r="K743" t="s">
        <v>4534</v>
      </c>
      <c r="L743" t="s">
        <v>28</v>
      </c>
      <c r="M743" t="s">
        <v>4535</v>
      </c>
      <c r="N743" t="s">
        <v>4536</v>
      </c>
      <c r="O743" t="s">
        <v>4537</v>
      </c>
      <c r="P743" t="s">
        <v>18</v>
      </c>
    </row>
    <row r="744" spans="1:16" x14ac:dyDescent="0.35">
      <c r="A744">
        <v>6231682</v>
      </c>
      <c r="B744" t="s">
        <v>4538</v>
      </c>
      <c r="C744" t="str">
        <f>"9780128195406"</f>
        <v>9780128195406</v>
      </c>
      <c r="D744" t="str">
        <f>"9780128227596"</f>
        <v>9780128227596</v>
      </c>
      <c r="E744" t="s">
        <v>1699</v>
      </c>
      <c r="F744" t="s">
        <v>1699</v>
      </c>
      <c r="G744" s="1">
        <v>44001</v>
      </c>
      <c r="H744" s="1">
        <v>44003</v>
      </c>
      <c r="K744" t="s">
        <v>2203</v>
      </c>
      <c r="L744" t="s">
        <v>4539</v>
      </c>
      <c r="M744" t="s">
        <v>4540</v>
      </c>
      <c r="N744">
        <v>660.29</v>
      </c>
      <c r="O744" t="s">
        <v>4541</v>
      </c>
      <c r="P744" t="s">
        <v>18</v>
      </c>
    </row>
    <row r="745" spans="1:16" x14ac:dyDescent="0.35">
      <c r="A745">
        <v>6235704</v>
      </c>
      <c r="B745" t="s">
        <v>4542</v>
      </c>
      <c r="C745" t="str">
        <f>"9780128195420"</f>
        <v>9780128195420</v>
      </c>
      <c r="D745" t="str">
        <f>"9780128198490"</f>
        <v>9780128198490</v>
      </c>
      <c r="E745" t="s">
        <v>1699</v>
      </c>
      <c r="F745" t="s">
        <v>1699</v>
      </c>
      <c r="G745" s="1">
        <v>44001</v>
      </c>
      <c r="H745" s="1">
        <v>44007</v>
      </c>
      <c r="K745" t="s">
        <v>3939</v>
      </c>
      <c r="L745" t="s">
        <v>176</v>
      </c>
      <c r="M745" t="s">
        <v>4543</v>
      </c>
      <c r="N745" t="s">
        <v>4544</v>
      </c>
      <c r="O745" t="s">
        <v>4545</v>
      </c>
      <c r="P745" t="s">
        <v>18</v>
      </c>
    </row>
    <row r="746" spans="1:16" x14ac:dyDescent="0.35">
      <c r="A746">
        <v>6242927</v>
      </c>
      <c r="B746" t="s">
        <v>4546</v>
      </c>
      <c r="C746" t="str">
        <f>"9781799848820"</f>
        <v>9781799848820</v>
      </c>
      <c r="D746" t="str">
        <f>"9781799848844"</f>
        <v>9781799848844</v>
      </c>
      <c r="E746" t="s">
        <v>138</v>
      </c>
      <c r="F746" t="s">
        <v>1769</v>
      </c>
      <c r="G746" s="1">
        <v>44001</v>
      </c>
      <c r="H746" s="1">
        <v>44014</v>
      </c>
      <c r="K746" t="s">
        <v>4547</v>
      </c>
      <c r="L746" t="s">
        <v>26</v>
      </c>
      <c r="M746" t="s">
        <v>4548</v>
      </c>
      <c r="N746">
        <v>331.11</v>
      </c>
      <c r="O746" t="s">
        <v>4549</v>
      </c>
      <c r="P746" t="s">
        <v>18</v>
      </c>
    </row>
    <row r="747" spans="1:16" x14ac:dyDescent="0.35">
      <c r="A747">
        <v>6259666</v>
      </c>
      <c r="B747" t="s">
        <v>4550</v>
      </c>
      <c r="C747" t="str">
        <f>"9781799845430"</f>
        <v>9781799845430</v>
      </c>
      <c r="D747" t="str">
        <f>"9781799845454"</f>
        <v>9781799845454</v>
      </c>
      <c r="E747" t="s">
        <v>138</v>
      </c>
      <c r="F747" t="s">
        <v>1769</v>
      </c>
      <c r="G747" s="1">
        <v>44001</v>
      </c>
      <c r="H747" s="1">
        <v>44021</v>
      </c>
      <c r="K747" t="s">
        <v>4551</v>
      </c>
      <c r="L747" t="s">
        <v>28</v>
      </c>
      <c r="M747" t="s">
        <v>4552</v>
      </c>
      <c r="N747" t="s">
        <v>369</v>
      </c>
      <c r="O747" t="s">
        <v>4553</v>
      </c>
      <c r="P747" t="s">
        <v>18</v>
      </c>
    </row>
    <row r="748" spans="1:16" x14ac:dyDescent="0.35">
      <c r="A748">
        <v>6237706</v>
      </c>
      <c r="B748" t="s">
        <v>4554</v>
      </c>
      <c r="C748" t="str">
        <f>"9781788970662"</f>
        <v>9781788970662</v>
      </c>
      <c r="D748" t="str">
        <f>"9781788970679"</f>
        <v>9781788970679</v>
      </c>
      <c r="E748" t="s">
        <v>2080</v>
      </c>
      <c r="F748" t="s">
        <v>2080</v>
      </c>
      <c r="G748" s="1">
        <v>44000</v>
      </c>
      <c r="H748" s="1">
        <v>44009</v>
      </c>
      <c r="J748" t="s">
        <v>4555</v>
      </c>
      <c r="K748" t="s">
        <v>4556</v>
      </c>
      <c r="L748" t="s">
        <v>23</v>
      </c>
      <c r="M748" t="s">
        <v>4557</v>
      </c>
      <c r="N748">
        <v>344.24045999999998</v>
      </c>
      <c r="O748" t="s">
        <v>3580</v>
      </c>
      <c r="P748" t="s">
        <v>18</v>
      </c>
    </row>
    <row r="749" spans="1:16" x14ac:dyDescent="0.35">
      <c r="A749">
        <v>6249829</v>
      </c>
      <c r="B749" t="s">
        <v>4558</v>
      </c>
      <c r="C749" t="str">
        <f>"9781786347855"</f>
        <v>9781786347855</v>
      </c>
      <c r="D749" t="str">
        <f>"9781786347862"</f>
        <v>9781786347862</v>
      </c>
      <c r="E749" t="s">
        <v>184</v>
      </c>
      <c r="F749" t="s">
        <v>2401</v>
      </c>
      <c r="G749" s="1">
        <v>44000</v>
      </c>
      <c r="H749" s="1">
        <v>44018</v>
      </c>
      <c r="K749" t="s">
        <v>4559</v>
      </c>
      <c r="L749" t="s">
        <v>1981</v>
      </c>
      <c r="M749" t="s">
        <v>4560</v>
      </c>
      <c r="N749" t="s">
        <v>4561</v>
      </c>
      <c r="O749" t="s">
        <v>4562</v>
      </c>
      <c r="P749" t="s">
        <v>18</v>
      </c>
    </row>
    <row r="750" spans="1:16" x14ac:dyDescent="0.35">
      <c r="A750">
        <v>6216981</v>
      </c>
      <c r="B750" t="s">
        <v>4563</v>
      </c>
      <c r="C750" t="str">
        <f>"9781498595735"</f>
        <v>9781498595735</v>
      </c>
      <c r="D750" t="str">
        <f>"9781498595742"</f>
        <v>9781498595742</v>
      </c>
      <c r="E750" t="s">
        <v>446</v>
      </c>
      <c r="F750" t="s">
        <v>446</v>
      </c>
      <c r="G750" s="1">
        <v>43998</v>
      </c>
      <c r="H750" s="1">
        <v>43987</v>
      </c>
      <c r="K750" t="s">
        <v>4564</v>
      </c>
      <c r="L750" t="s">
        <v>38</v>
      </c>
      <c r="M750" t="s">
        <v>4565</v>
      </c>
      <c r="N750">
        <v>306.34500000000003</v>
      </c>
      <c r="O750" t="s">
        <v>4566</v>
      </c>
      <c r="P750" t="s">
        <v>18</v>
      </c>
    </row>
    <row r="751" spans="1:16" x14ac:dyDescent="0.35">
      <c r="A751">
        <v>6207232</v>
      </c>
      <c r="B751" t="s">
        <v>4567</v>
      </c>
      <c r="C751" t="str">
        <f>"9781641433655"</f>
        <v>9781641433655</v>
      </c>
      <c r="D751" t="str">
        <f>"9781641433662"</f>
        <v>9781641433662</v>
      </c>
      <c r="E751" t="s">
        <v>457</v>
      </c>
      <c r="F751" t="s">
        <v>457</v>
      </c>
      <c r="G751" s="1">
        <v>43997</v>
      </c>
      <c r="H751" s="1">
        <v>43974</v>
      </c>
      <c r="I751">
        <v>2</v>
      </c>
      <c r="K751" t="s">
        <v>496</v>
      </c>
      <c r="L751" t="s">
        <v>38</v>
      </c>
      <c r="M751" t="s">
        <v>4568</v>
      </c>
      <c r="N751">
        <v>361.5</v>
      </c>
      <c r="O751" t="s">
        <v>4569</v>
      </c>
      <c r="P751" t="s">
        <v>18</v>
      </c>
    </row>
    <row r="752" spans="1:16" x14ac:dyDescent="0.35">
      <c r="A752">
        <v>6213331</v>
      </c>
      <c r="B752" t="s">
        <v>4570</v>
      </c>
      <c r="C752" t="str">
        <f>"9781838673741"</f>
        <v>9781838673741</v>
      </c>
      <c r="D752" t="str">
        <f>"9781838673758"</f>
        <v>9781838673758</v>
      </c>
      <c r="E752" t="s">
        <v>187</v>
      </c>
      <c r="F752" t="s">
        <v>187</v>
      </c>
      <c r="G752" s="1">
        <v>43997</v>
      </c>
      <c r="H752" s="1">
        <v>43983</v>
      </c>
      <c r="J752" t="s">
        <v>4571</v>
      </c>
      <c r="K752" t="s">
        <v>4572</v>
      </c>
      <c r="L752" t="s">
        <v>28</v>
      </c>
      <c r="M752" t="s">
        <v>2657</v>
      </c>
      <c r="N752" t="s">
        <v>54</v>
      </c>
      <c r="O752" t="s">
        <v>2625</v>
      </c>
      <c r="P752" t="s">
        <v>18</v>
      </c>
    </row>
    <row r="753" spans="1:16" x14ac:dyDescent="0.35">
      <c r="A753">
        <v>6215459</v>
      </c>
      <c r="B753" t="s">
        <v>4573</v>
      </c>
      <c r="C753" t="str">
        <f>"9781498573474"</f>
        <v>9781498573474</v>
      </c>
      <c r="D753" t="str">
        <f>"9781498573481"</f>
        <v>9781498573481</v>
      </c>
      <c r="E753" t="s">
        <v>446</v>
      </c>
      <c r="F753" t="s">
        <v>446</v>
      </c>
      <c r="G753" s="1">
        <v>43997</v>
      </c>
      <c r="H753" s="1">
        <v>43985</v>
      </c>
      <c r="K753" t="s">
        <v>4574</v>
      </c>
      <c r="L753" t="s">
        <v>4575</v>
      </c>
      <c r="M753" t="s">
        <v>4576</v>
      </c>
      <c r="N753">
        <v>333.70972999999901</v>
      </c>
      <c r="O753" t="s">
        <v>4577</v>
      </c>
      <c r="P753" t="s">
        <v>18</v>
      </c>
    </row>
    <row r="754" spans="1:16" x14ac:dyDescent="0.35">
      <c r="A754">
        <v>6319017</v>
      </c>
      <c r="B754" t="s">
        <v>4578</v>
      </c>
      <c r="C754" t="str">
        <f>"9783035710373"</f>
        <v>9783035710373</v>
      </c>
      <c r="D754" t="str">
        <f>"9783035730371"</f>
        <v>9783035730371</v>
      </c>
      <c r="E754" t="s">
        <v>1649</v>
      </c>
      <c r="F754" t="s">
        <v>1649</v>
      </c>
      <c r="G754" s="1">
        <v>43997</v>
      </c>
      <c r="H754" s="1">
        <v>44070</v>
      </c>
      <c r="I754">
        <v>1</v>
      </c>
      <c r="J754" t="s">
        <v>4195</v>
      </c>
      <c r="K754" t="s">
        <v>4579</v>
      </c>
      <c r="L754" t="s">
        <v>4580</v>
      </c>
      <c r="P754" t="s">
        <v>18</v>
      </c>
    </row>
    <row r="755" spans="1:16" x14ac:dyDescent="0.35">
      <c r="A755">
        <v>6191977</v>
      </c>
      <c r="B755" t="s">
        <v>4581</v>
      </c>
      <c r="C755" t="str">
        <f>"9781799835769"</f>
        <v>9781799835769</v>
      </c>
      <c r="D755" t="str">
        <f>"9781799835783"</f>
        <v>9781799835783</v>
      </c>
      <c r="E755" t="s">
        <v>138</v>
      </c>
      <c r="F755" t="s">
        <v>1789</v>
      </c>
      <c r="G755" s="1">
        <v>43994</v>
      </c>
      <c r="H755" s="1">
        <v>43959</v>
      </c>
      <c r="K755" t="s">
        <v>4582</v>
      </c>
      <c r="L755" t="s">
        <v>422</v>
      </c>
      <c r="M755" t="s">
        <v>4583</v>
      </c>
      <c r="N755">
        <v>363.7</v>
      </c>
      <c r="O755" t="s">
        <v>243</v>
      </c>
      <c r="P755" t="s">
        <v>18</v>
      </c>
    </row>
    <row r="756" spans="1:16" x14ac:dyDescent="0.35">
      <c r="A756">
        <v>6226493</v>
      </c>
      <c r="B756" t="s">
        <v>4584</v>
      </c>
      <c r="C756" t="str">
        <f>"9781527549760"</f>
        <v>9781527549760</v>
      </c>
      <c r="D756" t="str">
        <f>"9781527552043"</f>
        <v>9781527552043</v>
      </c>
      <c r="E756" t="s">
        <v>1662</v>
      </c>
      <c r="F756" t="s">
        <v>1662</v>
      </c>
      <c r="G756" s="1">
        <v>43994</v>
      </c>
      <c r="H756" s="1">
        <v>43995</v>
      </c>
      <c r="J756" t="s">
        <v>4585</v>
      </c>
      <c r="K756" t="s">
        <v>4586</v>
      </c>
      <c r="L756" t="s">
        <v>3285</v>
      </c>
      <c r="M756" t="s">
        <v>4587</v>
      </c>
      <c r="N756">
        <v>303.483</v>
      </c>
      <c r="O756" t="s">
        <v>4588</v>
      </c>
      <c r="P756" t="s">
        <v>18</v>
      </c>
    </row>
    <row r="757" spans="1:16" x14ac:dyDescent="0.35">
      <c r="A757">
        <v>6227038</v>
      </c>
      <c r="B757" t="s">
        <v>4589</v>
      </c>
      <c r="C757" t="str">
        <f>"9780128186121"</f>
        <v>9780128186121</v>
      </c>
      <c r="D757" t="str">
        <f>"9780128186138"</f>
        <v>9780128186138</v>
      </c>
      <c r="E757" t="s">
        <v>1699</v>
      </c>
      <c r="F757" t="s">
        <v>1699</v>
      </c>
      <c r="G757" s="1">
        <v>43994</v>
      </c>
      <c r="H757" s="1">
        <v>43996</v>
      </c>
      <c r="K757" t="s">
        <v>4590</v>
      </c>
      <c r="L757" t="s">
        <v>163</v>
      </c>
      <c r="M757" t="s">
        <v>4591</v>
      </c>
      <c r="N757">
        <v>363.73939999999999</v>
      </c>
      <c r="O757" t="s">
        <v>4592</v>
      </c>
      <c r="P757" t="s">
        <v>18</v>
      </c>
    </row>
    <row r="758" spans="1:16" x14ac:dyDescent="0.35">
      <c r="A758">
        <v>6192014</v>
      </c>
      <c r="B758" t="s">
        <v>4593</v>
      </c>
      <c r="C758" t="str">
        <f>"9781789206920"</f>
        <v>9781789206920</v>
      </c>
      <c r="D758" t="str">
        <f>"9781789206937"</f>
        <v>9781789206937</v>
      </c>
      <c r="E758" t="s">
        <v>447</v>
      </c>
      <c r="F758" t="s">
        <v>447</v>
      </c>
      <c r="G758" s="1">
        <v>43993</v>
      </c>
      <c r="H758" s="1">
        <v>43961</v>
      </c>
      <c r="I758">
        <v>1</v>
      </c>
      <c r="J758" t="s">
        <v>4594</v>
      </c>
      <c r="K758" t="s">
        <v>4595</v>
      </c>
      <c r="L758" t="s">
        <v>39</v>
      </c>
      <c r="M758" t="s">
        <v>4596</v>
      </c>
      <c r="N758">
        <v>333.72093999999998</v>
      </c>
      <c r="P758" t="s">
        <v>18</v>
      </c>
    </row>
    <row r="759" spans="1:16" x14ac:dyDescent="0.35">
      <c r="A759">
        <v>6192016</v>
      </c>
      <c r="B759" t="s">
        <v>4597</v>
      </c>
      <c r="C759" t="str">
        <f>"9781789207354"</f>
        <v>9781789207354</v>
      </c>
      <c r="D759" t="str">
        <f>"9781789207361"</f>
        <v>9781789207361</v>
      </c>
      <c r="E759" t="s">
        <v>447</v>
      </c>
      <c r="F759" t="s">
        <v>447</v>
      </c>
      <c r="G759" s="1">
        <v>43993</v>
      </c>
      <c r="H759" s="1">
        <v>43961</v>
      </c>
      <c r="I759">
        <v>1</v>
      </c>
      <c r="J759" t="s">
        <v>4598</v>
      </c>
      <c r="K759" t="s">
        <v>4599</v>
      </c>
      <c r="L759" t="s">
        <v>38</v>
      </c>
      <c r="M759" t="s">
        <v>4600</v>
      </c>
      <c r="N759">
        <v>307.76091129999998</v>
      </c>
      <c r="P759" t="s">
        <v>18</v>
      </c>
    </row>
    <row r="760" spans="1:16" x14ac:dyDescent="0.35">
      <c r="A760">
        <v>6568517</v>
      </c>
      <c r="B760" t="s">
        <v>4601</v>
      </c>
      <c r="C760" t="str">
        <f>"9781544397061"</f>
        <v>9781544397061</v>
      </c>
      <c r="D760" t="str">
        <f>"9781544397078"</f>
        <v>9781544397078</v>
      </c>
      <c r="E760" t="s">
        <v>482</v>
      </c>
      <c r="F760" t="s">
        <v>482</v>
      </c>
      <c r="G760" s="1">
        <v>43993</v>
      </c>
      <c r="H760" s="1">
        <v>44314</v>
      </c>
      <c r="I760">
        <v>1</v>
      </c>
      <c r="K760" t="s">
        <v>4602</v>
      </c>
      <c r="L760" t="s">
        <v>30</v>
      </c>
      <c r="M760" t="s">
        <v>4603</v>
      </c>
      <c r="N760">
        <v>370.110973</v>
      </c>
      <c r="O760" t="s">
        <v>4604</v>
      </c>
      <c r="P760" t="s">
        <v>18</v>
      </c>
    </row>
    <row r="761" spans="1:16" x14ac:dyDescent="0.35">
      <c r="A761">
        <v>6191263</v>
      </c>
      <c r="B761" t="s">
        <v>4605</v>
      </c>
      <c r="C761" t="str">
        <f>"9781527548183"</f>
        <v>9781527548183</v>
      </c>
      <c r="D761" t="str">
        <f>"9781527548596"</f>
        <v>9781527548596</v>
      </c>
      <c r="E761" t="s">
        <v>1662</v>
      </c>
      <c r="F761" t="s">
        <v>1662</v>
      </c>
      <c r="G761" s="1">
        <v>43992</v>
      </c>
      <c r="H761" s="1">
        <v>43958</v>
      </c>
      <c r="K761" t="s">
        <v>4606</v>
      </c>
      <c r="L761" t="s">
        <v>144</v>
      </c>
      <c r="M761" t="s">
        <v>4607</v>
      </c>
      <c r="N761">
        <v>574</v>
      </c>
      <c r="O761" t="s">
        <v>4608</v>
      </c>
      <c r="P761" t="s">
        <v>18</v>
      </c>
    </row>
    <row r="762" spans="1:16" x14ac:dyDescent="0.35">
      <c r="A762">
        <v>6226492</v>
      </c>
      <c r="B762" t="s">
        <v>4609</v>
      </c>
      <c r="C762" t="str">
        <f>"9781527550582"</f>
        <v>9781527550582</v>
      </c>
      <c r="D762" t="str">
        <f>"9781527554191"</f>
        <v>9781527554191</v>
      </c>
      <c r="E762" t="s">
        <v>1662</v>
      </c>
      <c r="F762" t="s">
        <v>1662</v>
      </c>
      <c r="G762" s="1">
        <v>43992</v>
      </c>
      <c r="H762" s="1">
        <v>43995</v>
      </c>
      <c r="K762" t="s">
        <v>4610</v>
      </c>
      <c r="L762" t="s">
        <v>292</v>
      </c>
      <c r="M762" t="s">
        <v>4611</v>
      </c>
      <c r="N762">
        <v>363.69</v>
      </c>
      <c r="O762" t="s">
        <v>4612</v>
      </c>
      <c r="P762" t="s">
        <v>18</v>
      </c>
    </row>
    <row r="763" spans="1:16" x14ac:dyDescent="0.35">
      <c r="A763">
        <v>6227812</v>
      </c>
      <c r="B763" t="s">
        <v>4613</v>
      </c>
      <c r="C763" t="str">
        <f>"9781536178623"</f>
        <v>9781536178623</v>
      </c>
      <c r="D763" t="str">
        <f>"9781536178630"</f>
        <v>9781536178630</v>
      </c>
      <c r="E763" t="s">
        <v>1689</v>
      </c>
      <c r="F763" t="s">
        <v>1689</v>
      </c>
      <c r="G763" s="1">
        <v>43992</v>
      </c>
      <c r="H763" s="1">
        <v>43998</v>
      </c>
      <c r="I763">
        <v>1</v>
      </c>
      <c r="J763" t="s">
        <v>3551</v>
      </c>
      <c r="K763" t="s">
        <v>4614</v>
      </c>
      <c r="L763" t="s">
        <v>557</v>
      </c>
      <c r="P763" t="s">
        <v>18</v>
      </c>
    </row>
    <row r="764" spans="1:16" x14ac:dyDescent="0.35">
      <c r="A764">
        <v>4943374</v>
      </c>
      <c r="B764" t="s">
        <v>4615</v>
      </c>
      <c r="C764" t="str">
        <f>"9783110375251"</f>
        <v>9783110375251</v>
      </c>
      <c r="D764" t="str">
        <f>"9783110375374"</f>
        <v>9783110375374</v>
      </c>
      <c r="E764" t="s">
        <v>404</v>
      </c>
      <c r="F764" t="s">
        <v>4616</v>
      </c>
      <c r="G764" s="1">
        <v>43990</v>
      </c>
      <c r="H764" s="1">
        <v>44053</v>
      </c>
      <c r="J764" t="s">
        <v>4617</v>
      </c>
      <c r="K764" t="s">
        <v>4618</v>
      </c>
      <c r="L764" t="s">
        <v>234</v>
      </c>
      <c r="M764" t="s">
        <v>4619</v>
      </c>
      <c r="N764" t="s">
        <v>4620</v>
      </c>
      <c r="O764" t="s">
        <v>4621</v>
      </c>
      <c r="P764" t="s">
        <v>18</v>
      </c>
    </row>
    <row r="765" spans="1:16" x14ac:dyDescent="0.35">
      <c r="A765">
        <v>6199013</v>
      </c>
      <c r="B765" t="s">
        <v>4622</v>
      </c>
      <c r="C765" t="str">
        <f>"9781789207088"</f>
        <v>9781789207088</v>
      </c>
      <c r="D765" t="str">
        <f>"9781789207095"</f>
        <v>9781789207095</v>
      </c>
      <c r="E765" t="s">
        <v>447</v>
      </c>
      <c r="F765" t="s">
        <v>447</v>
      </c>
      <c r="G765" s="1">
        <v>43987</v>
      </c>
      <c r="H765" s="1">
        <v>43966</v>
      </c>
      <c r="I765">
        <v>1</v>
      </c>
      <c r="K765" t="s">
        <v>4623</v>
      </c>
      <c r="L765" t="s">
        <v>38</v>
      </c>
      <c r="M765" t="s">
        <v>4624</v>
      </c>
      <c r="P765" t="s">
        <v>18</v>
      </c>
    </row>
    <row r="766" spans="1:16" x14ac:dyDescent="0.35">
      <c r="A766">
        <v>6234021</v>
      </c>
      <c r="B766" t="s">
        <v>4625</v>
      </c>
      <c r="C766" t="str">
        <f>"9781522598855"</f>
        <v>9781522598855</v>
      </c>
      <c r="D766" t="str">
        <f>"9781522598879"</f>
        <v>9781522598879</v>
      </c>
      <c r="E766" t="s">
        <v>138</v>
      </c>
      <c r="F766" t="s">
        <v>1769</v>
      </c>
      <c r="G766" s="1">
        <v>43987</v>
      </c>
      <c r="H766" s="1">
        <v>44006</v>
      </c>
      <c r="K766" t="s">
        <v>4626</v>
      </c>
      <c r="L766" t="s">
        <v>28</v>
      </c>
      <c r="M766" t="s">
        <v>4627</v>
      </c>
      <c r="N766">
        <v>658.40800000000002</v>
      </c>
      <c r="O766" t="s">
        <v>4628</v>
      </c>
      <c r="P766" t="s">
        <v>18</v>
      </c>
    </row>
    <row r="767" spans="1:16" x14ac:dyDescent="0.35">
      <c r="A767">
        <v>6129377</v>
      </c>
      <c r="B767" t="s">
        <v>4629</v>
      </c>
      <c r="C767" t="str">
        <f>"9781536172904"</f>
        <v>9781536172904</v>
      </c>
      <c r="D767" t="str">
        <f>"9781536172911"</f>
        <v>9781536172911</v>
      </c>
      <c r="E767" t="s">
        <v>1689</v>
      </c>
      <c r="F767" t="s">
        <v>1689</v>
      </c>
      <c r="G767" s="1">
        <v>43985</v>
      </c>
      <c r="H767" s="1">
        <v>43897</v>
      </c>
      <c r="I767">
        <v>1</v>
      </c>
      <c r="J767" t="s">
        <v>3551</v>
      </c>
      <c r="K767" t="s">
        <v>4630</v>
      </c>
      <c r="L767" t="s">
        <v>557</v>
      </c>
      <c r="P767" t="s">
        <v>18</v>
      </c>
    </row>
    <row r="768" spans="1:16" x14ac:dyDescent="0.35">
      <c r="A768">
        <v>6192245</v>
      </c>
      <c r="B768" t="s">
        <v>4631</v>
      </c>
      <c r="C768" t="str">
        <f>"9781536175615"</f>
        <v>9781536175615</v>
      </c>
      <c r="D768" t="str">
        <f>"9781536175622"</f>
        <v>9781536175622</v>
      </c>
      <c r="E768" t="s">
        <v>1689</v>
      </c>
      <c r="F768" t="s">
        <v>1689</v>
      </c>
      <c r="G768" s="1">
        <v>43980</v>
      </c>
      <c r="H768" s="1">
        <v>43961</v>
      </c>
      <c r="I768">
        <v>1</v>
      </c>
      <c r="J768" t="s">
        <v>4632</v>
      </c>
      <c r="K768" t="s">
        <v>4633</v>
      </c>
      <c r="L768" t="s">
        <v>513</v>
      </c>
      <c r="P768" t="s">
        <v>18</v>
      </c>
    </row>
    <row r="769" spans="1:16" x14ac:dyDescent="0.35">
      <c r="A769">
        <v>6207586</v>
      </c>
      <c r="B769" t="s">
        <v>4634</v>
      </c>
      <c r="C769" t="str">
        <f>"9781799834953"</f>
        <v>9781799834953</v>
      </c>
      <c r="D769" t="str">
        <f>"9781799834977"</f>
        <v>9781799834977</v>
      </c>
      <c r="E769" t="s">
        <v>138</v>
      </c>
      <c r="F769" t="s">
        <v>1769</v>
      </c>
      <c r="G769" s="1">
        <v>43980</v>
      </c>
      <c r="H769" s="1">
        <v>43974</v>
      </c>
      <c r="K769" t="s">
        <v>4635</v>
      </c>
      <c r="L769" t="s">
        <v>26</v>
      </c>
      <c r="M769" t="s">
        <v>4636</v>
      </c>
      <c r="N769">
        <v>338.04</v>
      </c>
      <c r="O769" t="s">
        <v>4637</v>
      </c>
      <c r="P769" t="s">
        <v>18</v>
      </c>
    </row>
    <row r="770" spans="1:16" x14ac:dyDescent="0.35">
      <c r="A770">
        <v>6227745</v>
      </c>
      <c r="B770" t="s">
        <v>4638</v>
      </c>
      <c r="C770" t="str">
        <f>"9781536179378"</f>
        <v>9781536179378</v>
      </c>
      <c r="D770" t="str">
        <f>"9781536179385"</f>
        <v>9781536179385</v>
      </c>
      <c r="E770" t="s">
        <v>1689</v>
      </c>
      <c r="F770" t="s">
        <v>3255</v>
      </c>
      <c r="G770" s="1">
        <v>43980</v>
      </c>
      <c r="H770" s="1">
        <v>43998</v>
      </c>
      <c r="I770">
        <v>1</v>
      </c>
      <c r="J770" t="s">
        <v>167</v>
      </c>
      <c r="K770" t="s">
        <v>4639</v>
      </c>
      <c r="L770" t="s">
        <v>118</v>
      </c>
      <c r="N770" t="s">
        <v>4640</v>
      </c>
      <c r="P770" t="s">
        <v>18</v>
      </c>
    </row>
    <row r="771" spans="1:16" x14ac:dyDescent="0.35">
      <c r="A771">
        <v>6425943</v>
      </c>
      <c r="B771" t="s">
        <v>4641</v>
      </c>
      <c r="C771" t="str">
        <f>"9781799819165"</f>
        <v>9781799819165</v>
      </c>
      <c r="D771" t="str">
        <f>"9781799819196"</f>
        <v>9781799819196</v>
      </c>
      <c r="E771" t="s">
        <v>138</v>
      </c>
      <c r="F771" t="s">
        <v>1789</v>
      </c>
      <c r="G771" s="1">
        <v>43980</v>
      </c>
      <c r="H771" s="1">
        <v>44182</v>
      </c>
      <c r="K771" t="s">
        <v>4642</v>
      </c>
      <c r="L771" t="s">
        <v>26</v>
      </c>
      <c r="M771" t="s">
        <v>4643</v>
      </c>
      <c r="N771" t="s">
        <v>128</v>
      </c>
      <c r="O771" t="s">
        <v>4644</v>
      </c>
      <c r="P771" t="s">
        <v>18</v>
      </c>
    </row>
    <row r="772" spans="1:16" x14ac:dyDescent="0.35">
      <c r="A772">
        <v>6034302</v>
      </c>
      <c r="B772" t="s">
        <v>4645</v>
      </c>
      <c r="C772" t="str">
        <f>"9781350052048"</f>
        <v>9781350052048</v>
      </c>
      <c r="D772" t="str">
        <f>"9781350052024"</f>
        <v>9781350052024</v>
      </c>
      <c r="E772" t="s">
        <v>539</v>
      </c>
      <c r="F772" t="s">
        <v>540</v>
      </c>
      <c r="G772" s="1">
        <v>43979</v>
      </c>
      <c r="H772" s="1">
        <v>43866</v>
      </c>
      <c r="K772" t="s">
        <v>4646</v>
      </c>
      <c r="L772" t="s">
        <v>41</v>
      </c>
      <c r="M772" t="s">
        <v>4647</v>
      </c>
      <c r="N772">
        <v>338.47746919999997</v>
      </c>
      <c r="O772" t="s">
        <v>4648</v>
      </c>
      <c r="P772" t="s">
        <v>18</v>
      </c>
    </row>
    <row r="773" spans="1:16" x14ac:dyDescent="0.35">
      <c r="A773">
        <v>6198925</v>
      </c>
      <c r="B773" t="s">
        <v>4649</v>
      </c>
      <c r="C773" t="str">
        <f>"9781509922536"</f>
        <v>9781509922536</v>
      </c>
      <c r="D773" t="str">
        <f>"9781509922550"</f>
        <v>9781509922550</v>
      </c>
      <c r="E773" t="s">
        <v>354</v>
      </c>
      <c r="F773" t="s">
        <v>294</v>
      </c>
      <c r="G773" s="1">
        <v>43979</v>
      </c>
      <c r="H773" s="1">
        <v>43966</v>
      </c>
      <c r="J773" t="s">
        <v>499</v>
      </c>
      <c r="K773" t="s">
        <v>4650</v>
      </c>
      <c r="L773" t="s">
        <v>23</v>
      </c>
      <c r="M773" t="s">
        <v>4651</v>
      </c>
      <c r="N773">
        <v>344.04602610000001</v>
      </c>
      <c r="O773" t="s">
        <v>3733</v>
      </c>
      <c r="P773" t="s">
        <v>18</v>
      </c>
    </row>
    <row r="774" spans="1:16" x14ac:dyDescent="0.35">
      <c r="A774">
        <v>6207469</v>
      </c>
      <c r="B774" t="s">
        <v>4652</v>
      </c>
      <c r="C774" t="str">
        <f>"9781793603043"</f>
        <v>9781793603043</v>
      </c>
      <c r="D774" t="str">
        <f>"9781793603050"</f>
        <v>9781793603050</v>
      </c>
      <c r="E774" t="s">
        <v>446</v>
      </c>
      <c r="F774" t="s">
        <v>446</v>
      </c>
      <c r="G774" s="1">
        <v>43977</v>
      </c>
      <c r="H774" s="1">
        <v>43974</v>
      </c>
      <c r="K774" t="s">
        <v>4653</v>
      </c>
      <c r="L774" t="s">
        <v>168</v>
      </c>
      <c r="M774" t="s">
        <v>4654</v>
      </c>
      <c r="N774">
        <v>634.91999999999905</v>
      </c>
      <c r="O774" t="s">
        <v>712</v>
      </c>
      <c r="P774" t="s">
        <v>18</v>
      </c>
    </row>
    <row r="775" spans="1:16" x14ac:dyDescent="0.35">
      <c r="A775">
        <v>6274283</v>
      </c>
      <c r="B775" t="s">
        <v>4655</v>
      </c>
      <c r="C775" t="str">
        <f>"9783443140281"</f>
        <v>9783443140281</v>
      </c>
      <c r="D775" t="str">
        <f>"9783443011512"</f>
        <v>9783443011512</v>
      </c>
      <c r="E775" t="s">
        <v>4482</v>
      </c>
      <c r="F775" t="s">
        <v>4656</v>
      </c>
      <c r="G775" s="1">
        <v>43977</v>
      </c>
      <c r="H775" s="1">
        <v>44045</v>
      </c>
      <c r="K775" t="s">
        <v>4657</v>
      </c>
      <c r="L775" t="s">
        <v>168</v>
      </c>
      <c r="M775" t="s">
        <v>4658</v>
      </c>
      <c r="N775">
        <v>634.90981999999997</v>
      </c>
      <c r="O775" t="s">
        <v>4659</v>
      </c>
      <c r="P775" t="s">
        <v>18</v>
      </c>
    </row>
    <row r="776" spans="1:16" x14ac:dyDescent="0.35">
      <c r="A776">
        <v>6274305</v>
      </c>
      <c r="B776" t="s">
        <v>4660</v>
      </c>
      <c r="C776" t="str">
        <f>"9783510653072"</f>
        <v>9783510653072</v>
      </c>
      <c r="D776" t="str">
        <f>"9783510654888"</f>
        <v>9783510654888</v>
      </c>
      <c r="E776" t="s">
        <v>4482</v>
      </c>
      <c r="F776" t="s">
        <v>4482</v>
      </c>
      <c r="G776" s="1">
        <v>43977</v>
      </c>
      <c r="H776" s="1">
        <v>44045</v>
      </c>
      <c r="K776" t="s">
        <v>4661</v>
      </c>
      <c r="L776" t="s">
        <v>4662</v>
      </c>
      <c r="M776" t="s">
        <v>4663</v>
      </c>
      <c r="N776">
        <v>333.91009509999998</v>
      </c>
      <c r="O776" t="s">
        <v>4664</v>
      </c>
      <c r="P776" t="s">
        <v>18</v>
      </c>
    </row>
    <row r="777" spans="1:16" x14ac:dyDescent="0.35">
      <c r="A777">
        <v>6274306</v>
      </c>
      <c r="B777" t="s">
        <v>4665</v>
      </c>
      <c r="C777" t="str">
        <f>"9783510653256"</f>
        <v>9783510653256</v>
      </c>
      <c r="D777" t="str">
        <f>"9783510654895"</f>
        <v>9783510654895</v>
      </c>
      <c r="E777" t="s">
        <v>4482</v>
      </c>
      <c r="F777" t="s">
        <v>4482</v>
      </c>
      <c r="G777" s="1">
        <v>43977</v>
      </c>
      <c r="H777" s="1">
        <v>44045</v>
      </c>
      <c r="K777" t="s">
        <v>4666</v>
      </c>
      <c r="L777" t="s">
        <v>4667</v>
      </c>
      <c r="M777" t="s">
        <v>4668</v>
      </c>
      <c r="N777">
        <v>333.91009509999998</v>
      </c>
      <c r="O777" t="s">
        <v>4669</v>
      </c>
      <c r="P777" t="s">
        <v>18</v>
      </c>
    </row>
    <row r="778" spans="1:16" x14ac:dyDescent="0.35">
      <c r="A778">
        <v>6492550</v>
      </c>
      <c r="B778" t="s">
        <v>4670</v>
      </c>
      <c r="C778" t="str">
        <f>"9783510654116"</f>
        <v>9783510654116</v>
      </c>
      <c r="D778" t="str">
        <f>"9783510655052"</f>
        <v>9783510655052</v>
      </c>
      <c r="E778" t="s">
        <v>4481</v>
      </c>
      <c r="F778" t="s">
        <v>4482</v>
      </c>
      <c r="G778" s="1">
        <v>43977</v>
      </c>
      <c r="H778" s="1">
        <v>44253</v>
      </c>
      <c r="K778" t="s">
        <v>4671</v>
      </c>
      <c r="L778" t="s">
        <v>168</v>
      </c>
      <c r="M778" t="s">
        <v>4672</v>
      </c>
      <c r="N778">
        <v>631.40917320000005</v>
      </c>
      <c r="O778" t="s">
        <v>4673</v>
      </c>
      <c r="P778" t="s">
        <v>18</v>
      </c>
    </row>
    <row r="779" spans="1:16" x14ac:dyDescent="0.35">
      <c r="A779">
        <v>6119447</v>
      </c>
      <c r="B779" t="s">
        <v>4674</v>
      </c>
      <c r="C779" t="str">
        <f>"9781536174250"</f>
        <v>9781536174250</v>
      </c>
      <c r="D779" t="str">
        <f>"9781536174267"</f>
        <v>9781536174267</v>
      </c>
      <c r="E779" t="s">
        <v>1689</v>
      </c>
      <c r="F779" t="s">
        <v>1689</v>
      </c>
      <c r="G779" s="1">
        <v>43974</v>
      </c>
      <c r="H779" s="1">
        <v>43886</v>
      </c>
      <c r="I779">
        <v>1</v>
      </c>
      <c r="J779" t="s">
        <v>3038</v>
      </c>
      <c r="K779" t="s">
        <v>4675</v>
      </c>
      <c r="L779" t="s">
        <v>536</v>
      </c>
      <c r="N779">
        <v>581.63409591000004</v>
      </c>
      <c r="P779" t="s">
        <v>18</v>
      </c>
    </row>
    <row r="780" spans="1:16" x14ac:dyDescent="0.35">
      <c r="A780">
        <v>6192246</v>
      </c>
      <c r="B780" t="s">
        <v>4676</v>
      </c>
      <c r="C780" t="str">
        <f>"9781536176124"</f>
        <v>9781536176124</v>
      </c>
      <c r="D780" t="str">
        <f>"9781536176131"</f>
        <v>9781536176131</v>
      </c>
      <c r="E780" t="s">
        <v>1689</v>
      </c>
      <c r="F780" t="s">
        <v>1689</v>
      </c>
      <c r="G780" s="1">
        <v>43971</v>
      </c>
      <c r="H780" s="1">
        <v>43961</v>
      </c>
      <c r="I780">
        <v>1</v>
      </c>
      <c r="J780" t="s">
        <v>3854</v>
      </c>
      <c r="K780" t="s">
        <v>4677</v>
      </c>
      <c r="L780" t="s">
        <v>28</v>
      </c>
      <c r="P780" t="s">
        <v>18</v>
      </c>
    </row>
    <row r="781" spans="1:16" x14ac:dyDescent="0.35">
      <c r="A781">
        <v>6201210</v>
      </c>
      <c r="B781" t="s">
        <v>4678</v>
      </c>
      <c r="C781" t="str">
        <f>"9780128181867"</f>
        <v>9780128181867</v>
      </c>
      <c r="D781" t="str">
        <f>"9780128181874"</f>
        <v>9780128181874</v>
      </c>
      <c r="E781" t="s">
        <v>190</v>
      </c>
      <c r="F781" t="s">
        <v>191</v>
      </c>
      <c r="G781" s="1">
        <v>43971</v>
      </c>
      <c r="H781" s="1">
        <v>43970</v>
      </c>
      <c r="K781" t="s">
        <v>4679</v>
      </c>
      <c r="L781" t="s">
        <v>168</v>
      </c>
      <c r="M781" t="s">
        <v>4680</v>
      </c>
      <c r="N781" t="s">
        <v>4681</v>
      </c>
      <c r="O781" t="s">
        <v>4125</v>
      </c>
      <c r="P781" t="s">
        <v>18</v>
      </c>
    </row>
    <row r="782" spans="1:16" x14ac:dyDescent="0.35">
      <c r="A782">
        <v>6206941</v>
      </c>
      <c r="B782" t="s">
        <v>4682</v>
      </c>
      <c r="C782" t="str">
        <f>"9780128179437"</f>
        <v>9780128179437</v>
      </c>
      <c r="D782" t="str">
        <f>"9780128179444"</f>
        <v>9780128179444</v>
      </c>
      <c r="E782" t="s">
        <v>1699</v>
      </c>
      <c r="F782" t="s">
        <v>1699</v>
      </c>
      <c r="G782" s="1">
        <v>43971</v>
      </c>
      <c r="H782" s="1">
        <v>43973</v>
      </c>
      <c r="J782" t="s">
        <v>1737</v>
      </c>
      <c r="K782" t="s">
        <v>4683</v>
      </c>
      <c r="L782" t="s">
        <v>4484</v>
      </c>
      <c r="M782" t="s">
        <v>4684</v>
      </c>
      <c r="N782">
        <v>579.81769999999995</v>
      </c>
      <c r="O782" t="s">
        <v>4685</v>
      </c>
      <c r="P782" t="s">
        <v>18</v>
      </c>
    </row>
    <row r="783" spans="1:16" x14ac:dyDescent="0.35">
      <c r="A783">
        <v>6227726</v>
      </c>
      <c r="B783" t="s">
        <v>4686</v>
      </c>
      <c r="C783" t="str">
        <f>"9781536180008"</f>
        <v>9781536180008</v>
      </c>
      <c r="D783" t="str">
        <f>"9781536180015"</f>
        <v>9781536180015</v>
      </c>
      <c r="E783" t="s">
        <v>1689</v>
      </c>
      <c r="F783" t="s">
        <v>1689</v>
      </c>
      <c r="G783" s="1">
        <v>43971</v>
      </c>
      <c r="H783" s="1">
        <v>43998</v>
      </c>
      <c r="I783">
        <v>1</v>
      </c>
      <c r="J783" t="s">
        <v>2728</v>
      </c>
      <c r="K783" t="s">
        <v>2729</v>
      </c>
      <c r="L783" t="s">
        <v>105</v>
      </c>
      <c r="P783" t="s">
        <v>18</v>
      </c>
    </row>
    <row r="784" spans="1:16" x14ac:dyDescent="0.35">
      <c r="A784">
        <v>6193701</v>
      </c>
      <c r="B784" t="s">
        <v>4687</v>
      </c>
      <c r="C784" t="str">
        <f>""</f>
        <v/>
      </c>
      <c r="D784" t="str">
        <f>"9783110684636"</f>
        <v>9783110684636</v>
      </c>
      <c r="E784" t="s">
        <v>404</v>
      </c>
      <c r="F784" t="s">
        <v>404</v>
      </c>
      <c r="G784" s="1">
        <v>43969</v>
      </c>
      <c r="H784" s="1">
        <v>43963</v>
      </c>
      <c r="J784" t="s">
        <v>4688</v>
      </c>
      <c r="K784" t="s">
        <v>4689</v>
      </c>
      <c r="L784" t="s">
        <v>28</v>
      </c>
      <c r="M784" t="s">
        <v>4690</v>
      </c>
      <c r="N784">
        <v>658.42100000000005</v>
      </c>
      <c r="O784" t="s">
        <v>298</v>
      </c>
      <c r="P784" t="s">
        <v>18</v>
      </c>
    </row>
    <row r="785" spans="1:16" x14ac:dyDescent="0.35">
      <c r="A785">
        <v>6213215</v>
      </c>
      <c r="B785" t="s">
        <v>4691</v>
      </c>
      <c r="C785" t="str">
        <f>"9781839102776"</f>
        <v>9781839102776</v>
      </c>
      <c r="D785" t="str">
        <f>"9781839102783"</f>
        <v>9781839102783</v>
      </c>
      <c r="E785" t="s">
        <v>2080</v>
      </c>
      <c r="F785" t="s">
        <v>2080</v>
      </c>
      <c r="G785" s="1">
        <v>43969</v>
      </c>
      <c r="H785" s="1">
        <v>43982</v>
      </c>
      <c r="K785" t="s">
        <v>474</v>
      </c>
      <c r="L785" t="s">
        <v>296</v>
      </c>
      <c r="M785" t="s">
        <v>4692</v>
      </c>
      <c r="N785" t="s">
        <v>4693</v>
      </c>
      <c r="O785" t="s">
        <v>4694</v>
      </c>
      <c r="P785" t="s">
        <v>18</v>
      </c>
    </row>
    <row r="786" spans="1:16" x14ac:dyDescent="0.35">
      <c r="A786">
        <v>6219931</v>
      </c>
      <c r="B786" t="s">
        <v>4695</v>
      </c>
      <c r="C786" t="str">
        <f>""</f>
        <v/>
      </c>
      <c r="D786" t="str">
        <f>"9783035618754"</f>
        <v>9783035618754</v>
      </c>
      <c r="E786" t="s">
        <v>404</v>
      </c>
      <c r="F786" t="s">
        <v>2014</v>
      </c>
      <c r="G786" s="1">
        <v>43969</v>
      </c>
      <c r="H786" s="1">
        <v>43987</v>
      </c>
      <c r="I786">
        <v>2</v>
      </c>
      <c r="K786" t="s">
        <v>4696</v>
      </c>
      <c r="L786" t="s">
        <v>87</v>
      </c>
      <c r="M786" t="s">
        <v>4697</v>
      </c>
      <c r="N786">
        <v>693.99699999999996</v>
      </c>
      <c r="O786" t="s">
        <v>4698</v>
      </c>
      <c r="P786" t="s">
        <v>18</v>
      </c>
    </row>
    <row r="787" spans="1:16" x14ac:dyDescent="0.35">
      <c r="A787">
        <v>6414310</v>
      </c>
      <c r="B787" t="s">
        <v>4699</v>
      </c>
      <c r="C787" t="str">
        <f>""</f>
        <v/>
      </c>
      <c r="D787" t="str">
        <f>"9783035622034"</f>
        <v>9783035622034</v>
      </c>
      <c r="E787" t="s">
        <v>404</v>
      </c>
      <c r="F787" t="s">
        <v>2014</v>
      </c>
      <c r="G787" s="1">
        <v>43969</v>
      </c>
      <c r="H787" s="1">
        <v>44165</v>
      </c>
      <c r="K787" t="s">
        <v>4700</v>
      </c>
      <c r="L787" t="s">
        <v>38</v>
      </c>
      <c r="M787" t="s">
        <v>4701</v>
      </c>
      <c r="N787">
        <v>307.14159999999998</v>
      </c>
      <c r="O787" t="s">
        <v>2972</v>
      </c>
      <c r="P787" t="s">
        <v>18</v>
      </c>
    </row>
    <row r="788" spans="1:16" x14ac:dyDescent="0.35">
      <c r="A788">
        <v>6199791</v>
      </c>
      <c r="B788" t="s">
        <v>4702</v>
      </c>
      <c r="C788" t="str">
        <f>"9780128205280"</f>
        <v>9780128205280</v>
      </c>
      <c r="D788" t="str">
        <f>"9780128205297"</f>
        <v>9780128205297</v>
      </c>
      <c r="E788" t="s">
        <v>1699</v>
      </c>
      <c r="F788" t="s">
        <v>1699</v>
      </c>
      <c r="G788" s="1">
        <v>43967</v>
      </c>
      <c r="H788" s="1">
        <v>43968</v>
      </c>
      <c r="K788" t="s">
        <v>4703</v>
      </c>
      <c r="L788" t="s">
        <v>34</v>
      </c>
      <c r="M788" t="s">
        <v>4704</v>
      </c>
      <c r="N788">
        <v>973.93309199999896</v>
      </c>
      <c r="O788" t="s">
        <v>3431</v>
      </c>
      <c r="P788" t="s">
        <v>18</v>
      </c>
    </row>
    <row r="789" spans="1:16" x14ac:dyDescent="0.35">
      <c r="A789">
        <v>6200156</v>
      </c>
      <c r="B789" t="s">
        <v>4705</v>
      </c>
      <c r="C789" t="str">
        <f>"9780128205266"</f>
        <v>9780128205266</v>
      </c>
      <c r="D789" t="str">
        <f>"9780128205273"</f>
        <v>9780128205273</v>
      </c>
      <c r="E789" t="s">
        <v>1699</v>
      </c>
      <c r="F789" t="s">
        <v>1699</v>
      </c>
      <c r="G789" s="1">
        <v>43967</v>
      </c>
      <c r="H789" s="1">
        <v>43969</v>
      </c>
      <c r="K789" t="s">
        <v>4703</v>
      </c>
      <c r="L789" t="s">
        <v>76</v>
      </c>
      <c r="M789" t="s">
        <v>4706</v>
      </c>
      <c r="N789">
        <v>660.62</v>
      </c>
      <c r="O789" t="s">
        <v>2238</v>
      </c>
      <c r="P789" t="s">
        <v>18</v>
      </c>
    </row>
    <row r="790" spans="1:16" x14ac:dyDescent="0.35">
      <c r="A790">
        <v>6135287</v>
      </c>
      <c r="B790" t="s">
        <v>4707</v>
      </c>
      <c r="C790" t="str">
        <f>"9781350115088"</f>
        <v>9781350115088</v>
      </c>
      <c r="D790" t="str">
        <f>"9781350115095"</f>
        <v>9781350115095</v>
      </c>
      <c r="E790" t="s">
        <v>354</v>
      </c>
      <c r="F790" t="s">
        <v>355</v>
      </c>
      <c r="G790" s="1">
        <v>43965</v>
      </c>
      <c r="H790" s="1">
        <v>43908</v>
      </c>
      <c r="J790" t="s">
        <v>4708</v>
      </c>
      <c r="K790" t="s">
        <v>4709</v>
      </c>
      <c r="L790" t="s">
        <v>35</v>
      </c>
      <c r="M790" t="s">
        <v>4710</v>
      </c>
      <c r="N790">
        <v>428.00709999999998</v>
      </c>
      <c r="O790" t="s">
        <v>4173</v>
      </c>
      <c r="P790" t="s">
        <v>18</v>
      </c>
    </row>
    <row r="791" spans="1:16" x14ac:dyDescent="0.35">
      <c r="A791">
        <v>6199684</v>
      </c>
      <c r="B791" t="s">
        <v>4711</v>
      </c>
      <c r="C791" t="str">
        <f>"9780128184851"</f>
        <v>9780128184851</v>
      </c>
      <c r="D791" t="str">
        <f>"9780128184868"</f>
        <v>9780128184868</v>
      </c>
      <c r="E791" t="s">
        <v>1699</v>
      </c>
      <c r="F791" t="s">
        <v>1699</v>
      </c>
      <c r="G791" s="1">
        <v>43965</v>
      </c>
      <c r="H791" s="1">
        <v>43967</v>
      </c>
      <c r="K791" t="s">
        <v>4712</v>
      </c>
      <c r="L791" t="s">
        <v>118</v>
      </c>
      <c r="M791" t="s">
        <v>4713</v>
      </c>
      <c r="N791">
        <v>660.28300000000002</v>
      </c>
      <c r="O791" t="s">
        <v>4714</v>
      </c>
      <c r="P791" t="s">
        <v>18</v>
      </c>
    </row>
    <row r="792" spans="1:16" x14ac:dyDescent="0.35">
      <c r="A792">
        <v>6182942</v>
      </c>
      <c r="B792" t="s">
        <v>4715</v>
      </c>
      <c r="C792" t="str">
        <f>"9781536175189"</f>
        <v>9781536175189</v>
      </c>
      <c r="D792" t="str">
        <f>"9781536175196"</f>
        <v>9781536175196</v>
      </c>
      <c r="E792" t="s">
        <v>1689</v>
      </c>
      <c r="F792" t="s">
        <v>1689</v>
      </c>
      <c r="G792" s="1">
        <v>43963</v>
      </c>
      <c r="H792" s="1">
        <v>43946</v>
      </c>
      <c r="I792">
        <v>1</v>
      </c>
      <c r="J792" t="s">
        <v>1690</v>
      </c>
      <c r="K792" t="s">
        <v>4716</v>
      </c>
      <c r="L792" t="s">
        <v>455</v>
      </c>
      <c r="M792" t="s">
        <v>4717</v>
      </c>
      <c r="N792">
        <v>577.54999999999905</v>
      </c>
      <c r="O792" t="s">
        <v>4718</v>
      </c>
      <c r="P792" t="s">
        <v>18</v>
      </c>
    </row>
    <row r="793" spans="1:16" x14ac:dyDescent="0.35">
      <c r="A793">
        <v>6195838</v>
      </c>
      <c r="B793" t="s">
        <v>4719</v>
      </c>
      <c r="C793" t="str">
        <f>"9780128163948"</f>
        <v>9780128163948</v>
      </c>
      <c r="D793" t="str">
        <f>"9780128166130"</f>
        <v>9780128166130</v>
      </c>
      <c r="E793" t="s">
        <v>190</v>
      </c>
      <c r="F793" t="s">
        <v>191</v>
      </c>
      <c r="G793" s="1">
        <v>43963</v>
      </c>
      <c r="H793" s="1">
        <v>43965</v>
      </c>
      <c r="K793" t="s">
        <v>2623</v>
      </c>
      <c r="L793" t="s">
        <v>76</v>
      </c>
      <c r="M793" t="s">
        <v>4720</v>
      </c>
      <c r="N793">
        <v>662.8</v>
      </c>
      <c r="O793" t="s">
        <v>4721</v>
      </c>
      <c r="P793" t="s">
        <v>18</v>
      </c>
    </row>
    <row r="794" spans="1:16" x14ac:dyDescent="0.35">
      <c r="A794">
        <v>6213210</v>
      </c>
      <c r="B794" t="s">
        <v>4722</v>
      </c>
      <c r="C794" t="str">
        <f>"9781789908589"</f>
        <v>9781789908589</v>
      </c>
      <c r="D794" t="str">
        <f>"9781789908596"</f>
        <v>9781789908596</v>
      </c>
      <c r="E794" t="s">
        <v>2080</v>
      </c>
      <c r="F794" t="s">
        <v>2080</v>
      </c>
      <c r="G794" s="1">
        <v>43963</v>
      </c>
      <c r="H794" s="1">
        <v>43982</v>
      </c>
      <c r="J794" t="s">
        <v>4723</v>
      </c>
      <c r="K794" t="s">
        <v>4724</v>
      </c>
      <c r="L794" t="s">
        <v>28</v>
      </c>
      <c r="M794" t="s">
        <v>4725</v>
      </c>
      <c r="N794">
        <v>658.3</v>
      </c>
      <c r="O794" t="s">
        <v>216</v>
      </c>
      <c r="P794" t="s">
        <v>18</v>
      </c>
    </row>
    <row r="795" spans="1:16" x14ac:dyDescent="0.35">
      <c r="A795">
        <v>6177648</v>
      </c>
      <c r="B795" t="s">
        <v>4726</v>
      </c>
      <c r="C795" t="str">
        <f>"9783035716580"</f>
        <v>9783035716580</v>
      </c>
      <c r="D795" t="str">
        <f>"9783035736588"</f>
        <v>9783035736588</v>
      </c>
      <c r="E795" t="s">
        <v>1649</v>
      </c>
      <c r="F795" t="s">
        <v>1649</v>
      </c>
      <c r="G795" s="1">
        <v>43962</v>
      </c>
      <c r="H795" s="1">
        <v>43941</v>
      </c>
      <c r="I795">
        <v>1</v>
      </c>
      <c r="J795" t="s">
        <v>1671</v>
      </c>
      <c r="K795" t="s">
        <v>4727</v>
      </c>
      <c r="L795" t="s">
        <v>84</v>
      </c>
      <c r="N795">
        <v>691</v>
      </c>
      <c r="P795" t="s">
        <v>18</v>
      </c>
    </row>
    <row r="796" spans="1:16" x14ac:dyDescent="0.35">
      <c r="A796">
        <v>6200074</v>
      </c>
      <c r="B796" t="s">
        <v>4728</v>
      </c>
      <c r="C796" t="str">
        <f>"9781527548510"</f>
        <v>9781527548510</v>
      </c>
      <c r="D796" t="str">
        <f>"9781527549494"</f>
        <v>9781527549494</v>
      </c>
      <c r="E796" t="s">
        <v>1662</v>
      </c>
      <c r="F796" t="s">
        <v>1662</v>
      </c>
      <c r="G796" s="1">
        <v>43962</v>
      </c>
      <c r="H796" s="1">
        <v>43969</v>
      </c>
      <c r="K796" t="s">
        <v>4729</v>
      </c>
      <c r="L796" t="s">
        <v>180</v>
      </c>
      <c r="M796" t="s">
        <v>4730</v>
      </c>
      <c r="N796">
        <v>338.92701</v>
      </c>
      <c r="O796" t="s">
        <v>4731</v>
      </c>
      <c r="P796" t="s">
        <v>18</v>
      </c>
    </row>
    <row r="797" spans="1:16" x14ac:dyDescent="0.35">
      <c r="A797">
        <v>6195745</v>
      </c>
      <c r="B797" t="s">
        <v>4732</v>
      </c>
      <c r="C797" t="str">
        <f>"9781786348593"</f>
        <v>9781786348593</v>
      </c>
      <c r="D797" t="str">
        <f>"9781786348609"</f>
        <v>9781786348609</v>
      </c>
      <c r="E797" t="s">
        <v>184</v>
      </c>
      <c r="F797" t="s">
        <v>2401</v>
      </c>
      <c r="G797" s="1">
        <v>43959</v>
      </c>
      <c r="H797" s="1">
        <v>43965</v>
      </c>
      <c r="K797" t="s">
        <v>4733</v>
      </c>
      <c r="L797" t="s">
        <v>368</v>
      </c>
      <c r="M797" t="s">
        <v>4734</v>
      </c>
      <c r="N797">
        <v>333.79</v>
      </c>
      <c r="O797" t="s">
        <v>4735</v>
      </c>
      <c r="P797" t="s">
        <v>18</v>
      </c>
    </row>
    <row r="798" spans="1:16" x14ac:dyDescent="0.35">
      <c r="A798">
        <v>6213217</v>
      </c>
      <c r="B798" t="s">
        <v>4736</v>
      </c>
      <c r="C798" t="str">
        <f>"9781789900941"</f>
        <v>9781789900941</v>
      </c>
      <c r="D798" t="str">
        <f>"9781789900958"</f>
        <v>9781789900958</v>
      </c>
      <c r="E798" t="s">
        <v>2080</v>
      </c>
      <c r="F798" t="s">
        <v>2080</v>
      </c>
      <c r="G798" s="1">
        <v>43958</v>
      </c>
      <c r="H798" s="1">
        <v>43982</v>
      </c>
      <c r="K798" t="s">
        <v>4737</v>
      </c>
      <c r="L798" t="s">
        <v>38</v>
      </c>
      <c r="M798" t="s">
        <v>4738</v>
      </c>
      <c r="N798">
        <v>306</v>
      </c>
      <c r="O798" t="s">
        <v>4739</v>
      </c>
      <c r="P798" t="s">
        <v>18</v>
      </c>
    </row>
    <row r="799" spans="1:16" x14ac:dyDescent="0.35">
      <c r="A799">
        <v>6213219</v>
      </c>
      <c r="B799" t="s">
        <v>4740</v>
      </c>
      <c r="C799" t="str">
        <f>"9781786430090"</f>
        <v>9781786430090</v>
      </c>
      <c r="D799" t="str">
        <f>"9781786430106"</f>
        <v>9781786430106</v>
      </c>
      <c r="E799" t="s">
        <v>2080</v>
      </c>
      <c r="F799" t="s">
        <v>2080</v>
      </c>
      <c r="G799" s="1">
        <v>43958</v>
      </c>
      <c r="H799" s="1">
        <v>43982</v>
      </c>
      <c r="K799" t="s">
        <v>4741</v>
      </c>
      <c r="L799" t="s">
        <v>271</v>
      </c>
      <c r="M799" t="s">
        <v>4742</v>
      </c>
      <c r="N799">
        <v>910</v>
      </c>
      <c r="O799" t="s">
        <v>4743</v>
      </c>
      <c r="P799" t="s">
        <v>18</v>
      </c>
    </row>
    <row r="800" spans="1:16" x14ac:dyDescent="0.35">
      <c r="A800">
        <v>6227989</v>
      </c>
      <c r="B800" t="s">
        <v>4744</v>
      </c>
      <c r="C800" t="str">
        <f>"9781536173352"</f>
        <v>9781536173352</v>
      </c>
      <c r="D800" t="str">
        <f>"9781536173369"</f>
        <v>9781536173369</v>
      </c>
      <c r="E800" t="s">
        <v>1689</v>
      </c>
      <c r="F800" t="s">
        <v>1689</v>
      </c>
      <c r="G800" s="1">
        <v>43957</v>
      </c>
      <c r="H800" s="1">
        <v>43998</v>
      </c>
      <c r="I800">
        <v>1</v>
      </c>
      <c r="J800" t="s">
        <v>4745</v>
      </c>
      <c r="K800" t="s">
        <v>4746</v>
      </c>
      <c r="L800" t="s">
        <v>3204</v>
      </c>
      <c r="P800" t="s">
        <v>18</v>
      </c>
    </row>
    <row r="801" spans="1:16" x14ac:dyDescent="0.35">
      <c r="A801">
        <v>6191272</v>
      </c>
      <c r="B801" t="s">
        <v>4747</v>
      </c>
      <c r="C801" t="str">
        <f>"9781527548909"</f>
        <v>9781527548909</v>
      </c>
      <c r="D801" t="str">
        <f>"9781527549920"</f>
        <v>9781527549920</v>
      </c>
      <c r="E801" t="s">
        <v>1662</v>
      </c>
      <c r="F801" t="s">
        <v>1662</v>
      </c>
      <c r="G801" s="1">
        <v>43956</v>
      </c>
      <c r="H801" s="1">
        <v>43958</v>
      </c>
      <c r="K801" t="s">
        <v>4748</v>
      </c>
      <c r="L801" t="s">
        <v>264</v>
      </c>
      <c r="M801" t="s">
        <v>4749</v>
      </c>
      <c r="N801">
        <v>629.22720000000004</v>
      </c>
      <c r="O801" t="s">
        <v>4750</v>
      </c>
      <c r="P801" t="s">
        <v>18</v>
      </c>
    </row>
    <row r="802" spans="1:16" x14ac:dyDescent="0.35">
      <c r="A802">
        <v>6260586</v>
      </c>
      <c r="B802" t="s">
        <v>4751</v>
      </c>
      <c r="C802" t="str">
        <f>"9783161471773"</f>
        <v>9783161471773</v>
      </c>
      <c r="D802" t="str">
        <f>"9783161580529"</f>
        <v>9783161580529</v>
      </c>
      <c r="E802" t="s">
        <v>4379</v>
      </c>
      <c r="F802" t="s">
        <v>4379</v>
      </c>
      <c r="G802" s="1">
        <v>43952</v>
      </c>
      <c r="H802" s="1">
        <v>44023</v>
      </c>
      <c r="I802">
        <v>1</v>
      </c>
      <c r="J802" t="s">
        <v>4752</v>
      </c>
      <c r="K802" t="s">
        <v>4753</v>
      </c>
      <c r="L802" t="s">
        <v>26</v>
      </c>
      <c r="P802" t="s">
        <v>315</v>
      </c>
    </row>
    <row r="803" spans="1:16" x14ac:dyDescent="0.35">
      <c r="A803">
        <v>6191227</v>
      </c>
      <c r="B803" t="s">
        <v>4754</v>
      </c>
      <c r="C803" t="str">
        <f>"9781527547308"</f>
        <v>9781527547308</v>
      </c>
      <c r="D803" t="str">
        <f>"9781527549562"</f>
        <v>9781527549562</v>
      </c>
      <c r="E803" t="s">
        <v>1662</v>
      </c>
      <c r="F803" t="s">
        <v>1662</v>
      </c>
      <c r="G803" s="1">
        <v>43951</v>
      </c>
      <c r="H803" s="1">
        <v>43958</v>
      </c>
      <c r="K803" t="s">
        <v>4755</v>
      </c>
      <c r="L803" t="s">
        <v>287</v>
      </c>
      <c r="M803" t="s">
        <v>4756</v>
      </c>
      <c r="N803">
        <v>338.47910000000002</v>
      </c>
      <c r="O803" t="s">
        <v>4757</v>
      </c>
      <c r="P803" t="s">
        <v>18</v>
      </c>
    </row>
    <row r="804" spans="1:16" x14ac:dyDescent="0.35">
      <c r="A804">
        <v>6845832</v>
      </c>
      <c r="B804" t="s">
        <v>4758</v>
      </c>
      <c r="C804" t="str">
        <f>"9781789940305"</f>
        <v>9781789940305</v>
      </c>
      <c r="D804" t="str">
        <f>"9781789941227"</f>
        <v>9781789941227</v>
      </c>
      <c r="E804" t="s">
        <v>354</v>
      </c>
      <c r="F804" t="s">
        <v>3206</v>
      </c>
      <c r="G804" s="1">
        <v>43951</v>
      </c>
      <c r="H804" s="1">
        <v>44569</v>
      </c>
      <c r="J804" t="s">
        <v>4759</v>
      </c>
      <c r="K804" t="s">
        <v>4760</v>
      </c>
      <c r="L804" t="s">
        <v>4761</v>
      </c>
      <c r="M804" t="s">
        <v>4762</v>
      </c>
      <c r="N804">
        <v>738.1</v>
      </c>
      <c r="O804" t="s">
        <v>4763</v>
      </c>
      <c r="P804" t="s">
        <v>18</v>
      </c>
    </row>
    <row r="805" spans="1:16" x14ac:dyDescent="0.35">
      <c r="A805">
        <v>6191270</v>
      </c>
      <c r="B805" t="s">
        <v>4764</v>
      </c>
      <c r="C805" t="str">
        <f>"9781527548084"</f>
        <v>9781527548084</v>
      </c>
      <c r="D805" t="str">
        <f>"9781527549500"</f>
        <v>9781527549500</v>
      </c>
      <c r="E805" t="s">
        <v>1662</v>
      </c>
      <c r="F805" t="s">
        <v>1662</v>
      </c>
      <c r="G805" s="1">
        <v>43950</v>
      </c>
      <c r="H805" s="1">
        <v>43958</v>
      </c>
      <c r="K805" t="s">
        <v>2419</v>
      </c>
      <c r="L805" t="s">
        <v>26</v>
      </c>
      <c r="M805" t="s">
        <v>4765</v>
      </c>
      <c r="N805">
        <v>338.92700000000002</v>
      </c>
      <c r="O805" t="s">
        <v>2625</v>
      </c>
      <c r="P805" t="s">
        <v>18</v>
      </c>
    </row>
    <row r="806" spans="1:16" x14ac:dyDescent="0.35">
      <c r="A806">
        <v>6195747</v>
      </c>
      <c r="B806" t="s">
        <v>4766</v>
      </c>
      <c r="C806" t="str">
        <f>"9789811210266"</f>
        <v>9789811210266</v>
      </c>
      <c r="D806" t="str">
        <f>"9789811210273"</f>
        <v>9789811210273</v>
      </c>
      <c r="E806" t="s">
        <v>184</v>
      </c>
      <c r="F806" t="s">
        <v>185</v>
      </c>
      <c r="G806" s="1">
        <v>43949</v>
      </c>
      <c r="H806" s="1">
        <v>43965</v>
      </c>
      <c r="J806" t="s">
        <v>4767</v>
      </c>
      <c r="K806" t="s">
        <v>4768</v>
      </c>
      <c r="L806" t="s">
        <v>28</v>
      </c>
      <c r="M806" t="s">
        <v>4769</v>
      </c>
      <c r="N806">
        <v>658.40800000000002</v>
      </c>
      <c r="O806" t="s">
        <v>503</v>
      </c>
      <c r="P806" t="s">
        <v>18</v>
      </c>
    </row>
    <row r="807" spans="1:16" x14ac:dyDescent="0.35">
      <c r="A807">
        <v>6177508</v>
      </c>
      <c r="B807" t="s">
        <v>4770</v>
      </c>
      <c r="C807" t="str">
        <f>"9780128164020"</f>
        <v>9780128164020</v>
      </c>
      <c r="D807" t="str">
        <f>"9780128172643"</f>
        <v>9780128172643</v>
      </c>
      <c r="E807" t="s">
        <v>190</v>
      </c>
      <c r="F807" t="s">
        <v>191</v>
      </c>
      <c r="G807" s="1">
        <v>43945</v>
      </c>
      <c r="H807" s="1">
        <v>43940</v>
      </c>
      <c r="K807" t="s">
        <v>4771</v>
      </c>
      <c r="L807" t="s">
        <v>76</v>
      </c>
      <c r="M807" t="s">
        <v>4772</v>
      </c>
      <c r="N807">
        <v>664</v>
      </c>
      <c r="O807" t="s">
        <v>504</v>
      </c>
      <c r="P807" t="s">
        <v>18</v>
      </c>
    </row>
    <row r="808" spans="1:16" x14ac:dyDescent="0.35">
      <c r="A808">
        <v>6187297</v>
      </c>
      <c r="B808" t="s">
        <v>4773</v>
      </c>
      <c r="C808" t="str">
        <f>"9780128215395"</f>
        <v>9780128215395</v>
      </c>
      <c r="D808" t="str">
        <f>"9780128215401"</f>
        <v>9780128215401</v>
      </c>
      <c r="E808" t="s">
        <v>309</v>
      </c>
      <c r="F808" t="s">
        <v>4774</v>
      </c>
      <c r="G808" s="1">
        <v>43945</v>
      </c>
      <c r="H808" s="1">
        <v>43952</v>
      </c>
      <c r="J808" t="s">
        <v>4775</v>
      </c>
      <c r="K808" t="s">
        <v>4776</v>
      </c>
      <c r="L808" t="s">
        <v>3369</v>
      </c>
      <c r="M808" t="s">
        <v>4777</v>
      </c>
      <c r="N808">
        <v>668.4</v>
      </c>
      <c r="O808" t="s">
        <v>4778</v>
      </c>
      <c r="P808" t="s">
        <v>18</v>
      </c>
    </row>
    <row r="809" spans="1:16" x14ac:dyDescent="0.35">
      <c r="A809">
        <v>6166931</v>
      </c>
      <c r="B809" t="s">
        <v>4779</v>
      </c>
      <c r="C809" t="str">
        <f>"9780128210123"</f>
        <v>9780128210123</v>
      </c>
      <c r="D809" t="str">
        <f>"9780128223833"</f>
        <v>9780128223833</v>
      </c>
      <c r="E809" t="s">
        <v>1699</v>
      </c>
      <c r="F809" t="s">
        <v>1699</v>
      </c>
      <c r="G809" s="1">
        <v>43938</v>
      </c>
      <c r="H809" s="1">
        <v>43930</v>
      </c>
      <c r="I809">
        <v>3</v>
      </c>
      <c r="K809" t="s">
        <v>4780</v>
      </c>
      <c r="L809" t="s">
        <v>118</v>
      </c>
      <c r="M809" t="s">
        <v>4781</v>
      </c>
      <c r="N809">
        <v>660.63</v>
      </c>
      <c r="O809" t="s">
        <v>4782</v>
      </c>
      <c r="P809" t="s">
        <v>18</v>
      </c>
    </row>
    <row r="810" spans="1:16" x14ac:dyDescent="0.35">
      <c r="A810">
        <v>6242923</v>
      </c>
      <c r="B810" t="s">
        <v>4783</v>
      </c>
      <c r="C810" t="str">
        <f>"9781799825999"</f>
        <v>9781799825999</v>
      </c>
      <c r="D810" t="str">
        <f>"9781799826019"</f>
        <v>9781799826019</v>
      </c>
      <c r="E810" t="s">
        <v>138</v>
      </c>
      <c r="F810" t="s">
        <v>1764</v>
      </c>
      <c r="G810" s="1">
        <v>43938</v>
      </c>
      <c r="H810" s="1">
        <v>44014</v>
      </c>
      <c r="K810" t="s">
        <v>4784</v>
      </c>
      <c r="L810" t="s">
        <v>358</v>
      </c>
      <c r="M810" t="s">
        <v>4785</v>
      </c>
      <c r="N810" t="s">
        <v>4786</v>
      </c>
      <c r="O810" t="s">
        <v>4787</v>
      </c>
      <c r="P810" t="s">
        <v>18</v>
      </c>
    </row>
    <row r="811" spans="1:16" x14ac:dyDescent="0.35">
      <c r="A811">
        <v>6177507</v>
      </c>
      <c r="B811" t="s">
        <v>4788</v>
      </c>
      <c r="C811" t="str">
        <f>"9780128167892"</f>
        <v>9780128167892</v>
      </c>
      <c r="D811" t="str">
        <f>"9780128167908"</f>
        <v>9780128167908</v>
      </c>
      <c r="E811" t="s">
        <v>1699</v>
      </c>
      <c r="F811" t="s">
        <v>1699</v>
      </c>
      <c r="G811" s="1">
        <v>43937</v>
      </c>
      <c r="H811" s="1">
        <v>43940</v>
      </c>
      <c r="J811" t="s">
        <v>2287</v>
      </c>
      <c r="K811" t="s">
        <v>4789</v>
      </c>
      <c r="L811" t="s">
        <v>4790</v>
      </c>
      <c r="M811" t="s">
        <v>4791</v>
      </c>
      <c r="N811">
        <v>620.5</v>
      </c>
      <c r="O811" t="s">
        <v>4792</v>
      </c>
      <c r="P811" t="s">
        <v>18</v>
      </c>
    </row>
    <row r="812" spans="1:16" x14ac:dyDescent="0.35">
      <c r="A812">
        <v>6190745</v>
      </c>
      <c r="B812" t="s">
        <v>4793</v>
      </c>
      <c r="C812" t="str">
        <f>"9781788972833"</f>
        <v>9781788972833</v>
      </c>
      <c r="D812" t="str">
        <f>"9781788972840"</f>
        <v>9781788972840</v>
      </c>
      <c r="E812" t="s">
        <v>2080</v>
      </c>
      <c r="F812" t="s">
        <v>2080</v>
      </c>
      <c r="G812" s="1">
        <v>43936</v>
      </c>
      <c r="H812" s="1">
        <v>43957</v>
      </c>
      <c r="K812" t="s">
        <v>4794</v>
      </c>
      <c r="L812" t="s">
        <v>283</v>
      </c>
      <c r="M812" t="s">
        <v>4795</v>
      </c>
      <c r="N812">
        <v>363.70097299999998</v>
      </c>
      <c r="O812" t="s">
        <v>4796</v>
      </c>
      <c r="P812" t="s">
        <v>18</v>
      </c>
    </row>
    <row r="813" spans="1:16" x14ac:dyDescent="0.35">
      <c r="A813">
        <v>6228004</v>
      </c>
      <c r="B813" t="s">
        <v>4797</v>
      </c>
      <c r="C813" t="str">
        <f>"9781536174885"</f>
        <v>9781536174885</v>
      </c>
      <c r="D813" t="str">
        <f>"9781536174892"</f>
        <v>9781536174892</v>
      </c>
      <c r="E813" t="s">
        <v>1689</v>
      </c>
      <c r="F813" t="s">
        <v>1689</v>
      </c>
      <c r="G813" s="1">
        <v>43936</v>
      </c>
      <c r="H813" s="1">
        <v>43998</v>
      </c>
      <c r="I813">
        <v>1</v>
      </c>
      <c r="J813" t="s">
        <v>2728</v>
      </c>
      <c r="K813" t="s">
        <v>2729</v>
      </c>
      <c r="L813" t="s">
        <v>105</v>
      </c>
      <c r="P813" t="s">
        <v>18</v>
      </c>
    </row>
    <row r="814" spans="1:16" x14ac:dyDescent="0.35">
      <c r="A814">
        <v>6146137</v>
      </c>
      <c r="B814" t="s">
        <v>4798</v>
      </c>
      <c r="C814" t="str">
        <f>"9781440864025"</f>
        <v>9781440864025</v>
      </c>
      <c r="D814" t="str">
        <f>"9781440864032"</f>
        <v>9781440864032</v>
      </c>
      <c r="E814" t="s">
        <v>440</v>
      </c>
      <c r="F814" t="s">
        <v>441</v>
      </c>
      <c r="G814" s="1">
        <v>43935</v>
      </c>
      <c r="H814" s="1">
        <v>43919</v>
      </c>
      <c r="K814" t="s">
        <v>4799</v>
      </c>
      <c r="L814" t="s">
        <v>210</v>
      </c>
      <c r="M814" t="s">
        <v>4800</v>
      </c>
      <c r="N814">
        <v>304.20890097300003</v>
      </c>
      <c r="O814" t="s">
        <v>4801</v>
      </c>
      <c r="P814" t="s">
        <v>18</v>
      </c>
    </row>
    <row r="815" spans="1:16" x14ac:dyDescent="0.35">
      <c r="A815">
        <v>6175350</v>
      </c>
      <c r="B815" t="s">
        <v>4802</v>
      </c>
      <c r="C815" t="str">
        <f>"9780128185698"</f>
        <v>9780128185698</v>
      </c>
      <c r="D815" t="str">
        <f>"9780128185704"</f>
        <v>9780128185704</v>
      </c>
      <c r="E815" t="s">
        <v>1699</v>
      </c>
      <c r="F815" t="s">
        <v>1699</v>
      </c>
      <c r="G815" s="1">
        <v>43930</v>
      </c>
      <c r="H815" s="1">
        <v>43936</v>
      </c>
      <c r="K815" t="s">
        <v>4803</v>
      </c>
      <c r="L815" t="s">
        <v>118</v>
      </c>
      <c r="M815" t="s">
        <v>4804</v>
      </c>
      <c r="N815">
        <v>660.02859999999896</v>
      </c>
      <c r="O815" t="s">
        <v>2033</v>
      </c>
      <c r="P815" t="s">
        <v>18</v>
      </c>
    </row>
    <row r="816" spans="1:16" x14ac:dyDescent="0.35">
      <c r="A816">
        <v>6191238</v>
      </c>
      <c r="B816" t="s">
        <v>4805</v>
      </c>
      <c r="C816" t="str">
        <f>"9781527545281"</f>
        <v>9781527545281</v>
      </c>
      <c r="D816" t="str">
        <f>"9781527547681"</f>
        <v>9781527547681</v>
      </c>
      <c r="E816" t="s">
        <v>1662</v>
      </c>
      <c r="F816" t="s">
        <v>1662</v>
      </c>
      <c r="G816" s="1">
        <v>43930</v>
      </c>
      <c r="H816" s="1">
        <v>43958</v>
      </c>
      <c r="K816" t="s">
        <v>4806</v>
      </c>
      <c r="L816" t="s">
        <v>257</v>
      </c>
      <c r="M816" t="s">
        <v>4807</v>
      </c>
      <c r="N816">
        <v>304.2</v>
      </c>
      <c r="O816" t="s">
        <v>4808</v>
      </c>
      <c r="P816" t="s">
        <v>18</v>
      </c>
    </row>
    <row r="817" spans="1:16" x14ac:dyDescent="0.35">
      <c r="A817">
        <v>6166924</v>
      </c>
      <c r="B817" t="s">
        <v>4809</v>
      </c>
      <c r="C817" t="str">
        <f>"9780128212646"</f>
        <v>9780128212646</v>
      </c>
      <c r="D817" t="str">
        <f>"9780128215371"</f>
        <v>9780128215371</v>
      </c>
      <c r="E817" t="s">
        <v>1699</v>
      </c>
      <c r="F817" t="s">
        <v>1699</v>
      </c>
      <c r="G817" s="1">
        <v>43929</v>
      </c>
      <c r="H817" s="1">
        <v>43930</v>
      </c>
      <c r="K817" t="s">
        <v>4810</v>
      </c>
      <c r="L817" t="s">
        <v>118</v>
      </c>
      <c r="M817" t="s">
        <v>4811</v>
      </c>
      <c r="N817">
        <v>660.6</v>
      </c>
      <c r="O817" t="s">
        <v>4812</v>
      </c>
      <c r="P817" t="s">
        <v>18</v>
      </c>
    </row>
    <row r="818" spans="1:16" x14ac:dyDescent="0.35">
      <c r="A818">
        <v>6161637</v>
      </c>
      <c r="B818" t="s">
        <v>4813</v>
      </c>
      <c r="C818" t="str">
        <f>"9781982123079"</f>
        <v>9781982123079</v>
      </c>
      <c r="D818" t="str">
        <f>"9781982123086"</f>
        <v>9781982123086</v>
      </c>
      <c r="E818" t="s">
        <v>2705</v>
      </c>
      <c r="F818" t="s">
        <v>4814</v>
      </c>
      <c r="G818" s="1">
        <v>43928</v>
      </c>
      <c r="H818" s="1">
        <v>43929</v>
      </c>
      <c r="K818" t="s">
        <v>4815</v>
      </c>
      <c r="L818" t="s">
        <v>35</v>
      </c>
      <c r="M818" t="s">
        <v>4816</v>
      </c>
      <c r="N818">
        <v>411</v>
      </c>
      <c r="O818" t="s">
        <v>4817</v>
      </c>
      <c r="P818" t="s">
        <v>18</v>
      </c>
    </row>
    <row r="819" spans="1:16" x14ac:dyDescent="0.35">
      <c r="A819">
        <v>6173911</v>
      </c>
      <c r="B819" t="s">
        <v>4818</v>
      </c>
      <c r="C819" t="str">
        <f>"9780128191033"</f>
        <v>9780128191033</v>
      </c>
      <c r="D819" t="str">
        <f>"9780128191040"</f>
        <v>9780128191040</v>
      </c>
      <c r="E819" t="s">
        <v>1699</v>
      </c>
      <c r="F819" t="s">
        <v>1699</v>
      </c>
      <c r="G819" s="1">
        <v>43928</v>
      </c>
      <c r="H819" s="1">
        <v>43934</v>
      </c>
      <c r="K819" t="s">
        <v>4819</v>
      </c>
      <c r="L819" t="s">
        <v>30</v>
      </c>
      <c r="M819" t="s">
        <v>4820</v>
      </c>
      <c r="N819">
        <v>378.19871060000003</v>
      </c>
      <c r="O819" t="s">
        <v>503</v>
      </c>
      <c r="P819" t="s">
        <v>18</v>
      </c>
    </row>
    <row r="820" spans="1:16" x14ac:dyDescent="0.35">
      <c r="A820">
        <v>6173915</v>
      </c>
      <c r="B820" t="s">
        <v>4821</v>
      </c>
      <c r="C820" t="str">
        <f>"9780128215166"</f>
        <v>9780128215166</v>
      </c>
      <c r="D820" t="str">
        <f>"9780128215173"</f>
        <v>9780128215173</v>
      </c>
      <c r="E820" t="s">
        <v>1699</v>
      </c>
      <c r="F820" t="s">
        <v>1699</v>
      </c>
      <c r="G820" s="1">
        <v>43928</v>
      </c>
      <c r="H820" s="1">
        <v>43934</v>
      </c>
      <c r="K820" t="s">
        <v>4822</v>
      </c>
      <c r="L820" t="s">
        <v>170</v>
      </c>
      <c r="M820" t="s">
        <v>4823</v>
      </c>
      <c r="N820">
        <v>388.4</v>
      </c>
      <c r="O820" t="s">
        <v>4824</v>
      </c>
      <c r="P820" t="s">
        <v>18</v>
      </c>
    </row>
    <row r="821" spans="1:16" x14ac:dyDescent="0.35">
      <c r="A821">
        <v>6368894</v>
      </c>
      <c r="B821" t="s">
        <v>4825</v>
      </c>
      <c r="C821" t="str">
        <f>"9781536169430"</f>
        <v>9781536169430</v>
      </c>
      <c r="D821" t="str">
        <f>"9781536169447"</f>
        <v>9781536169447</v>
      </c>
      <c r="E821" t="s">
        <v>1689</v>
      </c>
      <c r="F821" t="s">
        <v>1689</v>
      </c>
      <c r="G821" s="1">
        <v>43927</v>
      </c>
      <c r="H821" s="1">
        <v>44112</v>
      </c>
      <c r="I821">
        <v>1</v>
      </c>
      <c r="J821" t="s">
        <v>4434</v>
      </c>
      <c r="K821" t="s">
        <v>4826</v>
      </c>
      <c r="L821" t="s">
        <v>557</v>
      </c>
      <c r="P821" t="s">
        <v>18</v>
      </c>
    </row>
    <row r="822" spans="1:16" x14ac:dyDescent="0.35">
      <c r="A822">
        <v>6167653</v>
      </c>
      <c r="B822" t="s">
        <v>4827</v>
      </c>
      <c r="C822" t="str">
        <f>"9780128195277"</f>
        <v>9780128195277</v>
      </c>
      <c r="D822" t="str">
        <f>"9780128195673"</f>
        <v>9780128195673</v>
      </c>
      <c r="E822" t="s">
        <v>190</v>
      </c>
      <c r="F822" t="s">
        <v>191</v>
      </c>
      <c r="G822" s="1">
        <v>43924</v>
      </c>
      <c r="H822" s="1">
        <v>43931</v>
      </c>
      <c r="K822" t="s">
        <v>4828</v>
      </c>
      <c r="L822" t="s">
        <v>168</v>
      </c>
      <c r="M822" t="s">
        <v>4829</v>
      </c>
      <c r="N822">
        <v>633.11</v>
      </c>
      <c r="O822" t="s">
        <v>4830</v>
      </c>
      <c r="P822" t="s">
        <v>18</v>
      </c>
    </row>
    <row r="823" spans="1:16" x14ac:dyDescent="0.35">
      <c r="A823">
        <v>6190165</v>
      </c>
      <c r="B823" t="s">
        <v>4831</v>
      </c>
      <c r="C823" t="str">
        <f>"9781799831150"</f>
        <v>9781799831150</v>
      </c>
      <c r="D823" t="str">
        <f>"9781799831181"</f>
        <v>9781799831181</v>
      </c>
      <c r="E823" t="s">
        <v>138</v>
      </c>
      <c r="F823" t="s">
        <v>1769</v>
      </c>
      <c r="G823" s="1">
        <v>43924</v>
      </c>
      <c r="H823" s="1">
        <v>43956</v>
      </c>
      <c r="K823" t="s">
        <v>4832</v>
      </c>
      <c r="L823" t="s">
        <v>49</v>
      </c>
      <c r="M823" t="s">
        <v>4833</v>
      </c>
      <c r="N823">
        <v>306.3</v>
      </c>
      <c r="O823" t="s">
        <v>4834</v>
      </c>
      <c r="P823" t="s">
        <v>18</v>
      </c>
    </row>
    <row r="824" spans="1:16" x14ac:dyDescent="0.35">
      <c r="A824">
        <v>6191258</v>
      </c>
      <c r="B824" t="s">
        <v>4835</v>
      </c>
      <c r="C824" t="str">
        <f>"9781527542471"</f>
        <v>9781527542471</v>
      </c>
      <c r="D824" t="str">
        <f>"9781527547445"</f>
        <v>9781527547445</v>
      </c>
      <c r="E824" t="s">
        <v>1662</v>
      </c>
      <c r="F824" t="s">
        <v>1662</v>
      </c>
      <c r="G824" s="1">
        <v>43924</v>
      </c>
      <c r="H824" s="1">
        <v>43958</v>
      </c>
      <c r="K824" t="s">
        <v>4836</v>
      </c>
      <c r="L824" t="s">
        <v>105</v>
      </c>
      <c r="M824" t="s">
        <v>4837</v>
      </c>
      <c r="N824">
        <v>363.7</v>
      </c>
      <c r="O824" t="s">
        <v>2421</v>
      </c>
      <c r="P824" t="s">
        <v>18</v>
      </c>
    </row>
    <row r="825" spans="1:16" x14ac:dyDescent="0.35">
      <c r="A825">
        <v>6225950</v>
      </c>
      <c r="B825" t="s">
        <v>4838</v>
      </c>
      <c r="C825" t="str">
        <f>"9781799842552"</f>
        <v>9781799842552</v>
      </c>
      <c r="D825" t="str">
        <f>"9781799842569"</f>
        <v>9781799842569</v>
      </c>
      <c r="E825" t="s">
        <v>138</v>
      </c>
      <c r="F825" t="s">
        <v>1764</v>
      </c>
      <c r="G825" s="1">
        <v>43924</v>
      </c>
      <c r="H825" s="1">
        <v>43994</v>
      </c>
      <c r="K825" t="s">
        <v>4839</v>
      </c>
      <c r="L825" t="s">
        <v>28</v>
      </c>
      <c r="M825" t="s">
        <v>4840</v>
      </c>
      <c r="N825">
        <v>387.70684</v>
      </c>
      <c r="O825" t="s">
        <v>4841</v>
      </c>
      <c r="P825" t="s">
        <v>18</v>
      </c>
    </row>
    <row r="826" spans="1:16" x14ac:dyDescent="0.35">
      <c r="A826">
        <v>6191220</v>
      </c>
      <c r="B826" t="s">
        <v>4842</v>
      </c>
      <c r="C826" t="str">
        <f>"9781527546745"</f>
        <v>9781527546745</v>
      </c>
      <c r="D826" t="str">
        <f>"9781527548831"</f>
        <v>9781527548831</v>
      </c>
      <c r="E826" t="s">
        <v>1662</v>
      </c>
      <c r="F826" t="s">
        <v>1662</v>
      </c>
      <c r="G826" s="1">
        <v>43923</v>
      </c>
      <c r="H826" s="1">
        <v>43958</v>
      </c>
      <c r="K826" t="s">
        <v>4843</v>
      </c>
      <c r="L826" t="s">
        <v>53</v>
      </c>
      <c r="M826" t="s">
        <v>4844</v>
      </c>
      <c r="N826">
        <v>363.72800000000001</v>
      </c>
      <c r="O826" t="s">
        <v>4845</v>
      </c>
      <c r="P826" t="s">
        <v>18</v>
      </c>
    </row>
    <row r="827" spans="1:16" x14ac:dyDescent="0.35">
      <c r="A827">
        <v>6207213</v>
      </c>
      <c r="B827" t="s">
        <v>4846</v>
      </c>
      <c r="C827" t="str">
        <f>"9781538114728"</f>
        <v>9781538114728</v>
      </c>
      <c r="D827" t="str">
        <f>"9781538114742"</f>
        <v>9781538114742</v>
      </c>
      <c r="E827" t="s">
        <v>443</v>
      </c>
      <c r="F827" t="s">
        <v>443</v>
      </c>
      <c r="G827" s="1">
        <v>43923</v>
      </c>
      <c r="H827" s="1">
        <v>43974</v>
      </c>
      <c r="K827" t="s">
        <v>4847</v>
      </c>
      <c r="L827" t="s">
        <v>52</v>
      </c>
      <c r="M827" t="s">
        <v>4848</v>
      </c>
      <c r="N827">
        <v>69.068100000000001</v>
      </c>
      <c r="O827" t="s">
        <v>4849</v>
      </c>
      <c r="P827" t="s">
        <v>18</v>
      </c>
    </row>
    <row r="828" spans="1:16" x14ac:dyDescent="0.35">
      <c r="A828">
        <v>6002251</v>
      </c>
      <c r="B828" t="s">
        <v>4850</v>
      </c>
      <c r="C828" t="str">
        <f>""</f>
        <v/>
      </c>
      <c r="D828" t="str">
        <f>"9781799802273"</f>
        <v>9781799802273</v>
      </c>
      <c r="E828" t="s">
        <v>138</v>
      </c>
      <c r="F828" t="s">
        <v>138</v>
      </c>
      <c r="G828" s="1">
        <v>43922</v>
      </c>
      <c r="H828" s="1">
        <v>43831</v>
      </c>
      <c r="K828" t="s">
        <v>2410</v>
      </c>
      <c r="L828" t="s">
        <v>89</v>
      </c>
      <c r="M828" t="s">
        <v>4851</v>
      </c>
      <c r="N828">
        <v>304.2</v>
      </c>
      <c r="O828" t="s">
        <v>4852</v>
      </c>
      <c r="P828" t="s">
        <v>18</v>
      </c>
    </row>
    <row r="829" spans="1:16" x14ac:dyDescent="0.35">
      <c r="A829">
        <v>6193488</v>
      </c>
      <c r="B829" t="s">
        <v>4853</v>
      </c>
      <c r="C829" t="str">
        <f>"9789086863464"</f>
        <v>9789086863464</v>
      </c>
      <c r="D829" t="str">
        <f>"9789086868971"</f>
        <v>9789086868971</v>
      </c>
      <c r="E829" t="s">
        <v>2565</v>
      </c>
      <c r="F829" t="s">
        <v>2565</v>
      </c>
      <c r="G829" s="1">
        <v>43922</v>
      </c>
      <c r="H829" s="1">
        <v>43963</v>
      </c>
      <c r="I829">
        <v>1</v>
      </c>
      <c r="J829" t="s">
        <v>4854</v>
      </c>
      <c r="K829" t="s">
        <v>4855</v>
      </c>
      <c r="L829" t="s">
        <v>23</v>
      </c>
      <c r="M829" t="s">
        <v>4856</v>
      </c>
      <c r="N829">
        <v>341.75430940000001</v>
      </c>
      <c r="O829" t="s">
        <v>4857</v>
      </c>
      <c r="P829" t="s">
        <v>18</v>
      </c>
    </row>
    <row r="830" spans="1:16" x14ac:dyDescent="0.35">
      <c r="A830">
        <v>6347273</v>
      </c>
      <c r="B830" t="s">
        <v>4858</v>
      </c>
      <c r="C830" t="str">
        <f>""</f>
        <v/>
      </c>
      <c r="D830" t="str">
        <f>"9781799807988"</f>
        <v>9781799807988</v>
      </c>
      <c r="E830" t="s">
        <v>138</v>
      </c>
      <c r="F830" t="s">
        <v>138</v>
      </c>
      <c r="G830" s="1">
        <v>43922</v>
      </c>
      <c r="H830" s="1">
        <v>44085</v>
      </c>
      <c r="K830" t="s">
        <v>3292</v>
      </c>
      <c r="L830" t="s">
        <v>26</v>
      </c>
      <c r="M830" t="s">
        <v>4859</v>
      </c>
      <c r="N830">
        <v>338.92700000000002</v>
      </c>
      <c r="O830" t="s">
        <v>2677</v>
      </c>
      <c r="P830" t="s">
        <v>18</v>
      </c>
    </row>
    <row r="831" spans="1:16" x14ac:dyDescent="0.35">
      <c r="A831">
        <v>6151547</v>
      </c>
      <c r="B831" t="s">
        <v>4860</v>
      </c>
      <c r="C831" t="str">
        <f>"9780128213544"</f>
        <v>9780128213544</v>
      </c>
      <c r="D831" t="str">
        <f>"9780128213599"</f>
        <v>9780128213599</v>
      </c>
      <c r="E831" t="s">
        <v>1699</v>
      </c>
      <c r="F831" t="s">
        <v>1699</v>
      </c>
      <c r="G831" s="1">
        <v>43921</v>
      </c>
      <c r="H831" s="1">
        <v>43922</v>
      </c>
      <c r="J831" t="s">
        <v>2287</v>
      </c>
      <c r="K831" t="s">
        <v>2330</v>
      </c>
      <c r="L831" t="s">
        <v>85</v>
      </c>
      <c r="M831" t="s">
        <v>4861</v>
      </c>
      <c r="N831">
        <v>620.11500000000001</v>
      </c>
      <c r="O831" t="s">
        <v>4862</v>
      </c>
      <c r="P831" t="s">
        <v>18</v>
      </c>
    </row>
    <row r="832" spans="1:16" x14ac:dyDescent="0.35">
      <c r="A832">
        <v>6144217</v>
      </c>
      <c r="B832" t="s">
        <v>4863</v>
      </c>
      <c r="C832" t="str">
        <f>"9780128197837"</f>
        <v>9780128197837</v>
      </c>
      <c r="D832" t="str">
        <f>"9780128197844"</f>
        <v>9780128197844</v>
      </c>
      <c r="E832" t="s">
        <v>190</v>
      </c>
      <c r="F832" t="s">
        <v>280</v>
      </c>
      <c r="G832" s="1">
        <v>43917</v>
      </c>
      <c r="H832" s="1">
        <v>43915</v>
      </c>
      <c r="I832">
        <v>2</v>
      </c>
      <c r="J832" t="s">
        <v>2510</v>
      </c>
      <c r="K832" t="s">
        <v>3328</v>
      </c>
      <c r="L832" t="s">
        <v>31</v>
      </c>
      <c r="M832" t="s">
        <v>4864</v>
      </c>
      <c r="N832" t="s">
        <v>4865</v>
      </c>
      <c r="O832" t="s">
        <v>4866</v>
      </c>
      <c r="P832" t="s">
        <v>18</v>
      </c>
    </row>
    <row r="833" spans="1:16" x14ac:dyDescent="0.35">
      <c r="A833">
        <v>6144744</v>
      </c>
      <c r="B833" t="s">
        <v>4867</v>
      </c>
      <c r="C833" t="str">
        <f>"9781799827047"</f>
        <v>9781799827047</v>
      </c>
      <c r="D833" t="str">
        <f>"9781799827078"</f>
        <v>9781799827078</v>
      </c>
      <c r="E833" t="s">
        <v>138</v>
      </c>
      <c r="F833" t="s">
        <v>1769</v>
      </c>
      <c r="G833" s="1">
        <v>43917</v>
      </c>
      <c r="H833" s="1">
        <v>43916</v>
      </c>
      <c r="K833" t="s">
        <v>4868</v>
      </c>
      <c r="L833" t="s">
        <v>89</v>
      </c>
      <c r="M833" t="s">
        <v>4869</v>
      </c>
      <c r="N833" t="s">
        <v>436</v>
      </c>
      <c r="O833" t="s">
        <v>4870</v>
      </c>
      <c r="P833" t="s">
        <v>18</v>
      </c>
    </row>
    <row r="834" spans="1:16" x14ac:dyDescent="0.35">
      <c r="A834">
        <v>6147476</v>
      </c>
      <c r="B834" t="s">
        <v>4871</v>
      </c>
      <c r="C834" t="str">
        <f>"9780128175927"</f>
        <v>9780128175927</v>
      </c>
      <c r="D834" t="str">
        <f>"9780128175934"</f>
        <v>9780128175934</v>
      </c>
      <c r="E834" t="s">
        <v>1699</v>
      </c>
      <c r="F834" t="s">
        <v>1699</v>
      </c>
      <c r="G834" s="1">
        <v>43916</v>
      </c>
      <c r="H834" s="1">
        <v>43919</v>
      </c>
      <c r="J834" t="s">
        <v>1737</v>
      </c>
      <c r="K834" t="s">
        <v>4872</v>
      </c>
      <c r="L834" t="s">
        <v>161</v>
      </c>
      <c r="M834" t="s">
        <v>4873</v>
      </c>
      <c r="N834">
        <v>615.19000000000005</v>
      </c>
      <c r="O834" t="s">
        <v>4874</v>
      </c>
      <c r="P834" t="s">
        <v>18</v>
      </c>
    </row>
    <row r="835" spans="1:16" x14ac:dyDescent="0.35">
      <c r="A835">
        <v>6128605</v>
      </c>
      <c r="B835" t="s">
        <v>4875</v>
      </c>
      <c r="C835" t="str">
        <f>"9783035711592"</f>
        <v>9783035711592</v>
      </c>
      <c r="D835" t="str">
        <f>"9783035731590"</f>
        <v>9783035731590</v>
      </c>
      <c r="E835" t="s">
        <v>1649</v>
      </c>
      <c r="F835" t="s">
        <v>1649</v>
      </c>
      <c r="G835" s="1">
        <v>43915</v>
      </c>
      <c r="H835" s="1">
        <v>43896</v>
      </c>
      <c r="I835">
        <v>1</v>
      </c>
      <c r="J835" t="s">
        <v>1671</v>
      </c>
      <c r="K835" t="s">
        <v>4876</v>
      </c>
      <c r="L835" t="s">
        <v>4877</v>
      </c>
      <c r="P835" t="s">
        <v>18</v>
      </c>
    </row>
    <row r="836" spans="1:16" x14ac:dyDescent="0.35">
      <c r="A836">
        <v>6129383</v>
      </c>
      <c r="B836" t="s">
        <v>4878</v>
      </c>
      <c r="C836" t="str">
        <f>"9781527546097"</f>
        <v>9781527546097</v>
      </c>
      <c r="D836" t="str">
        <f>"9781527546998"</f>
        <v>9781527546998</v>
      </c>
      <c r="E836" t="s">
        <v>1662</v>
      </c>
      <c r="F836" t="s">
        <v>1662</v>
      </c>
      <c r="G836" s="1">
        <v>43915</v>
      </c>
      <c r="H836" s="1">
        <v>43897</v>
      </c>
      <c r="K836" t="s">
        <v>4879</v>
      </c>
      <c r="L836" t="s">
        <v>28</v>
      </c>
      <c r="M836" t="s">
        <v>4880</v>
      </c>
      <c r="N836">
        <v>650.13</v>
      </c>
      <c r="O836" t="s">
        <v>357</v>
      </c>
      <c r="P836" t="s">
        <v>18</v>
      </c>
    </row>
    <row r="837" spans="1:16" x14ac:dyDescent="0.35">
      <c r="A837">
        <v>6129390</v>
      </c>
      <c r="B837" t="s">
        <v>4881</v>
      </c>
      <c r="C837" t="str">
        <f>"9781527547049"</f>
        <v>9781527547049</v>
      </c>
      <c r="D837" t="str">
        <f>"9781527547834"</f>
        <v>9781527547834</v>
      </c>
      <c r="E837" t="s">
        <v>1662</v>
      </c>
      <c r="F837" t="s">
        <v>1662</v>
      </c>
      <c r="G837" s="1">
        <v>43915</v>
      </c>
      <c r="H837" s="1">
        <v>43897</v>
      </c>
      <c r="K837" t="s">
        <v>4882</v>
      </c>
      <c r="L837" t="s">
        <v>4883</v>
      </c>
      <c r="M837" t="s">
        <v>4884</v>
      </c>
      <c r="N837">
        <v>623.45119</v>
      </c>
      <c r="O837" t="s">
        <v>4885</v>
      </c>
      <c r="P837" t="s">
        <v>18</v>
      </c>
    </row>
    <row r="838" spans="1:16" x14ac:dyDescent="0.35">
      <c r="A838">
        <v>6144218</v>
      </c>
      <c r="B838" t="s">
        <v>4886</v>
      </c>
      <c r="C838" t="str">
        <f>"9780128176245"</f>
        <v>9780128176245</v>
      </c>
      <c r="D838" t="str">
        <f>"9780128176252"</f>
        <v>9780128176252</v>
      </c>
      <c r="E838" t="s">
        <v>190</v>
      </c>
      <c r="F838" t="s">
        <v>191</v>
      </c>
      <c r="G838" s="1">
        <v>43911</v>
      </c>
      <c r="H838" s="1">
        <v>43915</v>
      </c>
      <c r="K838" t="s">
        <v>4887</v>
      </c>
      <c r="L838" t="s">
        <v>410</v>
      </c>
      <c r="M838" t="s">
        <v>4888</v>
      </c>
      <c r="N838">
        <v>551.52509173199996</v>
      </c>
      <c r="O838" t="s">
        <v>4889</v>
      </c>
      <c r="P838" t="s">
        <v>18</v>
      </c>
    </row>
    <row r="839" spans="1:16" x14ac:dyDescent="0.35">
      <c r="A839">
        <v>6145900</v>
      </c>
      <c r="B839" t="s">
        <v>4890</v>
      </c>
      <c r="C839" t="str">
        <f>"9780128195154"</f>
        <v>9780128195154</v>
      </c>
      <c r="D839" t="str">
        <f>"9780128195666"</f>
        <v>9780128195666</v>
      </c>
      <c r="E839" t="s">
        <v>190</v>
      </c>
      <c r="F839" t="s">
        <v>191</v>
      </c>
      <c r="G839" s="1">
        <v>43911</v>
      </c>
      <c r="H839" s="1">
        <v>43919</v>
      </c>
      <c r="K839" t="s">
        <v>4891</v>
      </c>
      <c r="L839" t="s">
        <v>480</v>
      </c>
      <c r="M839" t="s">
        <v>4892</v>
      </c>
      <c r="N839">
        <v>333.79399999999998</v>
      </c>
      <c r="O839" t="s">
        <v>4893</v>
      </c>
      <c r="P839" t="s">
        <v>18</v>
      </c>
    </row>
    <row r="840" spans="1:16" x14ac:dyDescent="0.35">
      <c r="A840">
        <v>6126627</v>
      </c>
      <c r="B840" t="s">
        <v>4894</v>
      </c>
      <c r="C840" t="str">
        <f>"9781527546301"</f>
        <v>9781527546301</v>
      </c>
      <c r="D840" t="str">
        <f>"9781527547483"</f>
        <v>9781527547483</v>
      </c>
      <c r="E840" t="s">
        <v>1662</v>
      </c>
      <c r="F840" t="s">
        <v>1662</v>
      </c>
      <c r="G840" s="1">
        <v>43910</v>
      </c>
      <c r="H840" s="1">
        <v>43894</v>
      </c>
      <c r="K840" t="s">
        <v>4895</v>
      </c>
      <c r="L840" t="s">
        <v>257</v>
      </c>
      <c r="M840" t="s">
        <v>4896</v>
      </c>
      <c r="N840">
        <v>304.2</v>
      </c>
      <c r="O840" t="s">
        <v>2731</v>
      </c>
      <c r="P840" t="s">
        <v>18</v>
      </c>
    </row>
    <row r="841" spans="1:16" x14ac:dyDescent="0.35">
      <c r="A841">
        <v>6152139</v>
      </c>
      <c r="B841" t="s">
        <v>4897</v>
      </c>
      <c r="C841" t="str">
        <f>"9781799823476"</f>
        <v>9781799823476</v>
      </c>
      <c r="D841" t="str">
        <f>"9781799823506"</f>
        <v>9781799823506</v>
      </c>
      <c r="E841" t="s">
        <v>138</v>
      </c>
      <c r="F841" t="s">
        <v>1769</v>
      </c>
      <c r="G841" s="1">
        <v>43910</v>
      </c>
      <c r="H841" s="1">
        <v>43923</v>
      </c>
      <c r="K841" t="s">
        <v>4898</v>
      </c>
      <c r="L841" t="s">
        <v>28</v>
      </c>
      <c r="M841" t="s">
        <v>4899</v>
      </c>
      <c r="N841" t="s">
        <v>54</v>
      </c>
      <c r="O841" t="s">
        <v>2272</v>
      </c>
      <c r="P841" t="s">
        <v>18</v>
      </c>
    </row>
    <row r="842" spans="1:16" x14ac:dyDescent="0.35">
      <c r="A842">
        <v>6037763</v>
      </c>
      <c r="B842" t="s">
        <v>4900</v>
      </c>
      <c r="C842" t="str">
        <f>"9781536169713"</f>
        <v>9781536169713</v>
      </c>
      <c r="D842" t="str">
        <f>"9781536169720"</f>
        <v>9781536169720</v>
      </c>
      <c r="E842" t="s">
        <v>1689</v>
      </c>
      <c r="F842" t="s">
        <v>1689</v>
      </c>
      <c r="G842" s="1">
        <v>43908</v>
      </c>
      <c r="H842" s="1">
        <v>43869</v>
      </c>
      <c r="I842">
        <v>1</v>
      </c>
      <c r="J842" t="s">
        <v>2728</v>
      </c>
      <c r="K842" t="s">
        <v>2729</v>
      </c>
      <c r="L842" t="s">
        <v>105</v>
      </c>
      <c r="P842" t="s">
        <v>18</v>
      </c>
    </row>
    <row r="843" spans="1:16" x14ac:dyDescent="0.35">
      <c r="A843">
        <v>6119461</v>
      </c>
      <c r="B843" t="s">
        <v>4901</v>
      </c>
      <c r="C843" t="str">
        <f>"9781536173550"</f>
        <v>9781536173550</v>
      </c>
      <c r="D843" t="str">
        <f>"9781536173567"</f>
        <v>9781536173567</v>
      </c>
      <c r="E843" t="s">
        <v>1689</v>
      </c>
      <c r="F843" t="s">
        <v>1689</v>
      </c>
      <c r="G843" s="1">
        <v>43908</v>
      </c>
      <c r="H843" s="1">
        <v>43886</v>
      </c>
      <c r="I843">
        <v>1</v>
      </c>
      <c r="J843" t="s">
        <v>3551</v>
      </c>
      <c r="K843" t="s">
        <v>4902</v>
      </c>
      <c r="L843" t="s">
        <v>557</v>
      </c>
      <c r="P843" t="s">
        <v>18</v>
      </c>
    </row>
    <row r="844" spans="1:16" x14ac:dyDescent="0.35">
      <c r="A844">
        <v>6138166</v>
      </c>
      <c r="B844" t="s">
        <v>4903</v>
      </c>
      <c r="C844" t="str">
        <f>"9780128193556"</f>
        <v>9780128193556</v>
      </c>
      <c r="D844" t="str">
        <f>"9780128193563"</f>
        <v>9780128193563</v>
      </c>
      <c r="E844" t="s">
        <v>1699</v>
      </c>
      <c r="F844" t="s">
        <v>1699</v>
      </c>
      <c r="G844" s="1">
        <v>43908</v>
      </c>
      <c r="H844" s="1">
        <v>43909</v>
      </c>
      <c r="J844" t="s">
        <v>4904</v>
      </c>
      <c r="K844" t="s">
        <v>4905</v>
      </c>
      <c r="L844" t="s">
        <v>162</v>
      </c>
      <c r="M844" t="s">
        <v>4906</v>
      </c>
      <c r="N844">
        <v>620.11500000000001</v>
      </c>
      <c r="O844" t="s">
        <v>4862</v>
      </c>
      <c r="P844" t="s">
        <v>18</v>
      </c>
    </row>
    <row r="845" spans="1:16" x14ac:dyDescent="0.35">
      <c r="A845">
        <v>6144751</v>
      </c>
      <c r="B845" t="s">
        <v>4907</v>
      </c>
      <c r="C845" t="str">
        <f>"9781799825517"</f>
        <v>9781799825517</v>
      </c>
      <c r="D845" t="str">
        <f>"9781799825548"</f>
        <v>9781799825548</v>
      </c>
      <c r="E845" t="s">
        <v>138</v>
      </c>
      <c r="F845" t="s">
        <v>1789</v>
      </c>
      <c r="G845" s="1">
        <v>43903</v>
      </c>
      <c r="H845" s="1">
        <v>43916</v>
      </c>
      <c r="K845" t="s">
        <v>4908</v>
      </c>
      <c r="L845" t="s">
        <v>38</v>
      </c>
      <c r="M845" t="s">
        <v>4909</v>
      </c>
      <c r="N845">
        <v>302.30285094999999</v>
      </c>
      <c r="O845" t="s">
        <v>4910</v>
      </c>
      <c r="P845" t="s">
        <v>18</v>
      </c>
    </row>
    <row r="846" spans="1:16" x14ac:dyDescent="0.35">
      <c r="A846">
        <v>6130680</v>
      </c>
      <c r="B846" t="s">
        <v>4911</v>
      </c>
      <c r="C846" t="str">
        <f>"9780128178805"</f>
        <v>9780128178805</v>
      </c>
      <c r="D846" t="str">
        <f>"9780128178812"</f>
        <v>9780128178812</v>
      </c>
      <c r="E846" t="s">
        <v>190</v>
      </c>
      <c r="F846" t="s">
        <v>191</v>
      </c>
      <c r="G846" s="1">
        <v>43902</v>
      </c>
      <c r="H846" s="1">
        <v>43909</v>
      </c>
      <c r="K846" t="s">
        <v>1729</v>
      </c>
      <c r="L846" t="s">
        <v>104</v>
      </c>
      <c r="M846" t="s">
        <v>4912</v>
      </c>
      <c r="N846">
        <v>628.44000000000005</v>
      </c>
      <c r="O846" t="s">
        <v>4913</v>
      </c>
      <c r="P846" t="s">
        <v>18</v>
      </c>
    </row>
    <row r="847" spans="1:16" x14ac:dyDescent="0.35">
      <c r="A847">
        <v>6129353</v>
      </c>
      <c r="B847" t="s">
        <v>4914</v>
      </c>
      <c r="C847" t="str">
        <f>"9781536171891"</f>
        <v>9781536171891</v>
      </c>
      <c r="D847" t="str">
        <f>"9781536171907"</f>
        <v>9781536171907</v>
      </c>
      <c r="E847" t="s">
        <v>1689</v>
      </c>
      <c r="F847" t="s">
        <v>1689</v>
      </c>
      <c r="G847" s="1">
        <v>43900</v>
      </c>
      <c r="H847" s="1">
        <v>43897</v>
      </c>
      <c r="I847">
        <v>1</v>
      </c>
      <c r="J847" t="s">
        <v>3551</v>
      </c>
      <c r="K847" t="s">
        <v>4915</v>
      </c>
      <c r="L847" t="s">
        <v>557</v>
      </c>
      <c r="P847" t="s">
        <v>18</v>
      </c>
    </row>
    <row r="848" spans="1:16" x14ac:dyDescent="0.35">
      <c r="A848">
        <v>6209818</v>
      </c>
      <c r="B848" t="s">
        <v>4916</v>
      </c>
      <c r="C848" t="str">
        <f>"9783110559859"</f>
        <v>9783110559859</v>
      </c>
      <c r="D848" t="str">
        <f>"9783110561340"</f>
        <v>9783110561340</v>
      </c>
      <c r="E848" t="s">
        <v>404</v>
      </c>
      <c r="F848" t="s">
        <v>404</v>
      </c>
      <c r="G848" s="1">
        <v>43899</v>
      </c>
      <c r="H848" s="1">
        <v>44037</v>
      </c>
      <c r="I848">
        <v>3</v>
      </c>
      <c r="K848" t="s">
        <v>4917</v>
      </c>
      <c r="L848" t="s">
        <v>361</v>
      </c>
      <c r="M848" t="s">
        <v>4918</v>
      </c>
      <c r="N848">
        <v>551.51099999999894</v>
      </c>
      <c r="O848" t="s">
        <v>4919</v>
      </c>
      <c r="P848" t="s">
        <v>18</v>
      </c>
    </row>
    <row r="849" spans="1:16" x14ac:dyDescent="0.35">
      <c r="A849">
        <v>6165528</v>
      </c>
      <c r="B849" t="s">
        <v>4920</v>
      </c>
      <c r="C849" t="str">
        <f>"9789811210570"</f>
        <v>9789811210570</v>
      </c>
      <c r="D849" t="str">
        <f>"9789811210587"</f>
        <v>9789811210587</v>
      </c>
      <c r="E849" t="s">
        <v>184</v>
      </c>
      <c r="F849" t="s">
        <v>185</v>
      </c>
      <c r="G849" s="1">
        <v>43896</v>
      </c>
      <c r="H849" s="1">
        <v>43930</v>
      </c>
      <c r="J849" t="s">
        <v>4921</v>
      </c>
      <c r="K849" t="s">
        <v>4922</v>
      </c>
      <c r="L849" t="s">
        <v>118</v>
      </c>
      <c r="M849" t="s">
        <v>4923</v>
      </c>
      <c r="N849">
        <v>660.02859999999896</v>
      </c>
      <c r="O849" t="s">
        <v>2033</v>
      </c>
      <c r="P849" t="s">
        <v>18</v>
      </c>
    </row>
    <row r="850" spans="1:16" x14ac:dyDescent="0.35">
      <c r="A850">
        <v>6033705</v>
      </c>
      <c r="B850" t="s">
        <v>4924</v>
      </c>
      <c r="C850" t="str">
        <f>"9781408130285"</f>
        <v>9781408130285</v>
      </c>
      <c r="D850" t="str">
        <f>"9781408133057"</f>
        <v>9781408133057</v>
      </c>
      <c r="E850" t="s">
        <v>354</v>
      </c>
      <c r="F850" t="s">
        <v>4925</v>
      </c>
      <c r="G850" s="1">
        <v>43895</v>
      </c>
      <c r="H850" s="1">
        <v>43865</v>
      </c>
      <c r="K850" t="s">
        <v>4926</v>
      </c>
      <c r="L850" t="s">
        <v>4927</v>
      </c>
      <c r="P850" t="s">
        <v>18</v>
      </c>
    </row>
    <row r="851" spans="1:16" x14ac:dyDescent="0.35">
      <c r="A851">
        <v>6130356</v>
      </c>
      <c r="B851" t="s">
        <v>4928</v>
      </c>
      <c r="C851" t="str">
        <f>"9783736971592"</f>
        <v>9783736971592</v>
      </c>
      <c r="D851" t="str">
        <f>"9783736961593"</f>
        <v>9783736961593</v>
      </c>
      <c r="E851" t="s">
        <v>2357</v>
      </c>
      <c r="F851" t="s">
        <v>2357</v>
      </c>
      <c r="G851" s="1">
        <v>43895</v>
      </c>
      <c r="H851" s="1">
        <v>44111</v>
      </c>
      <c r="I851">
        <v>1</v>
      </c>
      <c r="K851" t="s">
        <v>4929</v>
      </c>
      <c r="L851" t="s">
        <v>26</v>
      </c>
      <c r="M851" t="s">
        <v>4930</v>
      </c>
      <c r="N851">
        <v>338.92700000000002</v>
      </c>
      <c r="O851" t="s">
        <v>2625</v>
      </c>
      <c r="P851" t="s">
        <v>18</v>
      </c>
    </row>
    <row r="852" spans="1:16" x14ac:dyDescent="0.35">
      <c r="A852">
        <v>6140983</v>
      </c>
      <c r="B852" t="s">
        <v>4931</v>
      </c>
      <c r="C852" t="str">
        <f>"9781793619709"</f>
        <v>9781793619709</v>
      </c>
      <c r="D852" t="str">
        <f>"9781793619716"</f>
        <v>9781793619716</v>
      </c>
      <c r="E852" t="s">
        <v>446</v>
      </c>
      <c r="F852" t="s">
        <v>446</v>
      </c>
      <c r="G852" s="1">
        <v>43895</v>
      </c>
      <c r="H852" s="1">
        <v>43910</v>
      </c>
      <c r="K852" t="s">
        <v>4932</v>
      </c>
      <c r="L852" t="s">
        <v>4933</v>
      </c>
      <c r="M852" t="s">
        <v>4934</v>
      </c>
      <c r="N852">
        <v>156.5</v>
      </c>
      <c r="O852" t="s">
        <v>4935</v>
      </c>
      <c r="P852" t="s">
        <v>18</v>
      </c>
    </row>
    <row r="853" spans="1:16" x14ac:dyDescent="0.35">
      <c r="A853">
        <v>6128099</v>
      </c>
      <c r="B853" t="s">
        <v>4936</v>
      </c>
      <c r="C853" t="str">
        <f>"9780128189658"</f>
        <v>9780128189658</v>
      </c>
      <c r="D853" t="str">
        <f>"9780128189665"</f>
        <v>9780128189665</v>
      </c>
      <c r="E853" t="s">
        <v>1699</v>
      </c>
      <c r="F853" t="s">
        <v>1699</v>
      </c>
      <c r="G853" s="1">
        <v>43894</v>
      </c>
      <c r="H853" s="1">
        <v>43895</v>
      </c>
      <c r="K853" t="s">
        <v>4937</v>
      </c>
      <c r="L853" t="s">
        <v>31</v>
      </c>
      <c r="M853" t="s">
        <v>4938</v>
      </c>
      <c r="N853">
        <v>363.73939999999999</v>
      </c>
      <c r="O853" t="s">
        <v>4939</v>
      </c>
      <c r="P853" t="s">
        <v>18</v>
      </c>
    </row>
    <row r="854" spans="1:16" x14ac:dyDescent="0.35">
      <c r="A854">
        <v>6129732</v>
      </c>
      <c r="B854" t="s">
        <v>4940</v>
      </c>
      <c r="C854" t="str">
        <f>"9780128172261"</f>
        <v>9780128172261</v>
      </c>
      <c r="D854" t="str">
        <f>"9780128172278"</f>
        <v>9780128172278</v>
      </c>
      <c r="E854" t="s">
        <v>190</v>
      </c>
      <c r="F854" t="s">
        <v>191</v>
      </c>
      <c r="G854" s="1">
        <v>43894</v>
      </c>
      <c r="H854" s="1">
        <v>43898</v>
      </c>
      <c r="K854" t="s">
        <v>4941</v>
      </c>
      <c r="L854" t="s">
        <v>233</v>
      </c>
      <c r="M854" t="s">
        <v>4942</v>
      </c>
      <c r="N854">
        <v>363.8</v>
      </c>
      <c r="O854" t="s">
        <v>4943</v>
      </c>
      <c r="P854" t="s">
        <v>18</v>
      </c>
    </row>
    <row r="855" spans="1:16" x14ac:dyDescent="0.35">
      <c r="A855">
        <v>6810606</v>
      </c>
      <c r="B855" t="s">
        <v>4944</v>
      </c>
      <c r="C855" t="str">
        <f>"9782759821983"</f>
        <v>9782759821983</v>
      </c>
      <c r="D855" t="str">
        <f>"9782759824434"</f>
        <v>9782759824434</v>
      </c>
      <c r="E855" t="s">
        <v>378</v>
      </c>
      <c r="F855" t="s">
        <v>378</v>
      </c>
      <c r="G855" s="1">
        <v>43894</v>
      </c>
      <c r="H855" s="1">
        <v>44529</v>
      </c>
      <c r="J855" t="s">
        <v>3474</v>
      </c>
      <c r="K855" t="s">
        <v>3475</v>
      </c>
      <c r="L855" t="s">
        <v>4945</v>
      </c>
      <c r="P855" t="s">
        <v>18</v>
      </c>
    </row>
    <row r="856" spans="1:16" x14ac:dyDescent="0.35">
      <c r="A856">
        <v>6119594</v>
      </c>
      <c r="B856" t="s">
        <v>4946</v>
      </c>
      <c r="C856" t="str">
        <f>"9781839092862"</f>
        <v>9781839092862</v>
      </c>
      <c r="D856" t="str">
        <f>"9781839092879"</f>
        <v>9781839092879</v>
      </c>
      <c r="E856" t="s">
        <v>187</v>
      </c>
      <c r="F856" t="s">
        <v>187</v>
      </c>
      <c r="G856" s="1">
        <v>43892</v>
      </c>
      <c r="H856" s="1">
        <v>43886</v>
      </c>
      <c r="K856" t="s">
        <v>4310</v>
      </c>
      <c r="L856" t="s">
        <v>26</v>
      </c>
      <c r="M856" t="s">
        <v>4947</v>
      </c>
      <c r="N856">
        <v>338.04</v>
      </c>
      <c r="O856" t="s">
        <v>507</v>
      </c>
      <c r="P856" t="s">
        <v>18</v>
      </c>
    </row>
    <row r="857" spans="1:16" x14ac:dyDescent="0.35">
      <c r="A857">
        <v>6235079</v>
      </c>
      <c r="B857" t="s">
        <v>4948</v>
      </c>
      <c r="C857" t="str">
        <f>"9781352008975"</f>
        <v>9781352008975</v>
      </c>
      <c r="D857" t="str">
        <f>"9781352008982"</f>
        <v>9781352008982</v>
      </c>
      <c r="E857" t="s">
        <v>354</v>
      </c>
      <c r="F857" t="s">
        <v>355</v>
      </c>
      <c r="G857" s="1">
        <v>43889</v>
      </c>
      <c r="H857" s="1">
        <v>44016</v>
      </c>
      <c r="I857">
        <v>5</v>
      </c>
      <c r="K857" t="s">
        <v>4949</v>
      </c>
      <c r="L857" t="s">
        <v>41</v>
      </c>
      <c r="M857" t="s">
        <v>351</v>
      </c>
      <c r="N857">
        <v>337</v>
      </c>
      <c r="O857" t="s">
        <v>383</v>
      </c>
      <c r="P857" t="s">
        <v>18</v>
      </c>
    </row>
    <row r="858" spans="1:16" x14ac:dyDescent="0.35">
      <c r="A858">
        <v>6029128</v>
      </c>
      <c r="B858" t="s">
        <v>4950</v>
      </c>
      <c r="C858" t="str">
        <f>"9781789661224"</f>
        <v>9781789661224</v>
      </c>
      <c r="D858" t="str">
        <f>"9781789661231"</f>
        <v>9781789661231</v>
      </c>
      <c r="E858" t="s">
        <v>215</v>
      </c>
      <c r="F858" t="s">
        <v>215</v>
      </c>
      <c r="G858" s="1">
        <v>43886</v>
      </c>
      <c r="H858" s="1">
        <v>43859</v>
      </c>
      <c r="I858">
        <v>1</v>
      </c>
      <c r="K858" t="s">
        <v>4951</v>
      </c>
      <c r="L858" t="s">
        <v>28</v>
      </c>
      <c r="M858" t="s">
        <v>4952</v>
      </c>
      <c r="N858">
        <v>658.30028500000003</v>
      </c>
      <c r="O858" t="s">
        <v>4953</v>
      </c>
      <c r="P858" t="s">
        <v>18</v>
      </c>
    </row>
    <row r="859" spans="1:16" x14ac:dyDescent="0.35">
      <c r="A859">
        <v>6141014</v>
      </c>
      <c r="B859" t="s">
        <v>4954</v>
      </c>
      <c r="C859" t="str">
        <f>"9781538126394"</f>
        <v>9781538126394</v>
      </c>
      <c r="D859" t="str">
        <f>"9781538126400"</f>
        <v>9781538126400</v>
      </c>
      <c r="E859" t="s">
        <v>442</v>
      </c>
      <c r="F859" t="s">
        <v>442</v>
      </c>
      <c r="G859" s="1">
        <v>43886</v>
      </c>
      <c r="H859" s="1">
        <v>43910</v>
      </c>
      <c r="I859">
        <v>2</v>
      </c>
      <c r="K859" t="s">
        <v>4955</v>
      </c>
      <c r="L859" t="s">
        <v>4956</v>
      </c>
      <c r="M859" t="s">
        <v>4957</v>
      </c>
      <c r="N859">
        <v>333.10973000000001</v>
      </c>
      <c r="O859" t="s">
        <v>4958</v>
      </c>
      <c r="P859" t="s">
        <v>18</v>
      </c>
    </row>
    <row r="860" spans="1:16" x14ac:dyDescent="0.35">
      <c r="A860">
        <v>5973856</v>
      </c>
      <c r="B860" t="s">
        <v>4959</v>
      </c>
      <c r="C860" t="str">
        <f>"9781350055094"</f>
        <v>9781350055094</v>
      </c>
      <c r="D860" t="str">
        <f>"9781350055117"</f>
        <v>9781350055117</v>
      </c>
      <c r="E860" t="s">
        <v>354</v>
      </c>
      <c r="F860" t="s">
        <v>355</v>
      </c>
      <c r="G860" s="1">
        <v>43881</v>
      </c>
      <c r="H860" s="1">
        <v>43777</v>
      </c>
      <c r="J860" t="s">
        <v>4279</v>
      </c>
      <c r="K860" t="s">
        <v>4960</v>
      </c>
      <c r="L860" t="s">
        <v>38</v>
      </c>
      <c r="M860" t="s">
        <v>4961</v>
      </c>
      <c r="N860">
        <v>363.8</v>
      </c>
      <c r="O860" t="s">
        <v>4962</v>
      </c>
      <c r="P860" t="s">
        <v>18</v>
      </c>
    </row>
    <row r="861" spans="1:16" x14ac:dyDescent="0.35">
      <c r="A861">
        <v>6028768</v>
      </c>
      <c r="B861" t="s">
        <v>4963</v>
      </c>
      <c r="C861" t="str">
        <f>"9781536170887"</f>
        <v>9781536170887</v>
      </c>
      <c r="D861" t="str">
        <f>"9781536170894"</f>
        <v>9781536170894</v>
      </c>
      <c r="E861" t="s">
        <v>1689</v>
      </c>
      <c r="F861" t="s">
        <v>1689</v>
      </c>
      <c r="G861" s="1">
        <v>43881</v>
      </c>
      <c r="H861" s="1">
        <v>43858</v>
      </c>
      <c r="I861">
        <v>1</v>
      </c>
      <c r="J861" t="s">
        <v>3723</v>
      </c>
      <c r="K861" t="s">
        <v>3724</v>
      </c>
      <c r="L861" t="s">
        <v>557</v>
      </c>
      <c r="P861" t="s">
        <v>18</v>
      </c>
    </row>
    <row r="862" spans="1:16" x14ac:dyDescent="0.35">
      <c r="A862">
        <v>6028788</v>
      </c>
      <c r="B862" t="s">
        <v>4964</v>
      </c>
      <c r="C862" t="str">
        <f>"9781536170429"</f>
        <v>9781536170429</v>
      </c>
      <c r="D862" t="str">
        <f>"9781536170436"</f>
        <v>9781536170436</v>
      </c>
      <c r="E862" t="s">
        <v>1689</v>
      </c>
      <c r="F862" t="s">
        <v>3255</v>
      </c>
      <c r="G862" s="1">
        <v>43881</v>
      </c>
      <c r="H862" s="1">
        <v>43858</v>
      </c>
      <c r="I862">
        <v>1</v>
      </c>
      <c r="J862" t="s">
        <v>1815</v>
      </c>
      <c r="K862" t="s">
        <v>4965</v>
      </c>
      <c r="L862" t="s">
        <v>4966</v>
      </c>
      <c r="M862" t="s">
        <v>4967</v>
      </c>
      <c r="N862">
        <v>621.48379999999997</v>
      </c>
      <c r="O862" t="s">
        <v>4968</v>
      </c>
      <c r="P862" t="s">
        <v>18</v>
      </c>
    </row>
    <row r="863" spans="1:16" x14ac:dyDescent="0.35">
      <c r="A863">
        <v>6119539</v>
      </c>
      <c r="B863" t="s">
        <v>4969</v>
      </c>
      <c r="C863" t="str">
        <f>"9781527545625"</f>
        <v>9781527545625</v>
      </c>
      <c r="D863" t="str">
        <f>"9781527546813"</f>
        <v>9781527546813</v>
      </c>
      <c r="E863" t="s">
        <v>1662</v>
      </c>
      <c r="F863" t="s">
        <v>1662</v>
      </c>
      <c r="G863" s="1">
        <v>43881</v>
      </c>
      <c r="H863" s="1">
        <v>43886</v>
      </c>
      <c r="K863" t="s">
        <v>4970</v>
      </c>
      <c r="L863" t="s">
        <v>172</v>
      </c>
      <c r="M863" t="s">
        <v>4971</v>
      </c>
      <c r="N863">
        <v>579</v>
      </c>
      <c r="O863" t="s">
        <v>4972</v>
      </c>
      <c r="P863" t="s">
        <v>18</v>
      </c>
    </row>
    <row r="864" spans="1:16" x14ac:dyDescent="0.35">
      <c r="A864">
        <v>6028684</v>
      </c>
      <c r="B864" t="s">
        <v>4973</v>
      </c>
      <c r="C864" t="str">
        <f>"9781536169270"</f>
        <v>9781536169270</v>
      </c>
      <c r="D864" t="str">
        <f>"9781536169287"</f>
        <v>9781536169287</v>
      </c>
      <c r="E864" t="s">
        <v>1689</v>
      </c>
      <c r="F864" t="s">
        <v>1689</v>
      </c>
      <c r="G864" s="1">
        <v>43879</v>
      </c>
      <c r="H864" s="1">
        <v>43858</v>
      </c>
      <c r="I864">
        <v>1</v>
      </c>
      <c r="J864" t="s">
        <v>2794</v>
      </c>
      <c r="K864" t="s">
        <v>4974</v>
      </c>
      <c r="L864" t="s">
        <v>41</v>
      </c>
      <c r="N864">
        <v>338.9549207</v>
      </c>
      <c r="P864" t="s">
        <v>18</v>
      </c>
    </row>
    <row r="865" spans="1:16" x14ac:dyDescent="0.35">
      <c r="A865">
        <v>6002113</v>
      </c>
      <c r="B865" t="s">
        <v>4975</v>
      </c>
      <c r="C865" t="str">
        <f>"9781786994141"</f>
        <v>9781786994141</v>
      </c>
      <c r="D865" t="str">
        <f>"9781786994172"</f>
        <v>9781786994172</v>
      </c>
      <c r="E865" t="s">
        <v>392</v>
      </c>
      <c r="F865" t="s">
        <v>393</v>
      </c>
      <c r="G865" s="1">
        <v>43876</v>
      </c>
      <c r="H865" s="1">
        <v>43831</v>
      </c>
      <c r="I865">
        <v>1</v>
      </c>
      <c r="K865" t="s">
        <v>4976</v>
      </c>
      <c r="L865" t="s">
        <v>38</v>
      </c>
      <c r="M865" t="s">
        <v>4977</v>
      </c>
      <c r="N865">
        <v>362.88082000000003</v>
      </c>
      <c r="O865" t="s">
        <v>4978</v>
      </c>
      <c r="P865" t="s">
        <v>18</v>
      </c>
    </row>
    <row r="866" spans="1:16" x14ac:dyDescent="0.35">
      <c r="A866">
        <v>6012351</v>
      </c>
      <c r="B866" t="s">
        <v>4979</v>
      </c>
      <c r="C866" t="str">
        <f>"9781538109281"</f>
        <v>9781538109281</v>
      </c>
      <c r="D866" t="str">
        <f>"9781538109304"</f>
        <v>9781538109304</v>
      </c>
      <c r="E866" t="s">
        <v>443</v>
      </c>
      <c r="F866" t="s">
        <v>443</v>
      </c>
      <c r="G866" s="1">
        <v>43876</v>
      </c>
      <c r="H866" s="1">
        <v>43845</v>
      </c>
      <c r="K866" t="s">
        <v>4980</v>
      </c>
      <c r="L866" t="s">
        <v>364</v>
      </c>
      <c r="M866" t="s">
        <v>4981</v>
      </c>
      <c r="N866">
        <v>333.70979399999902</v>
      </c>
      <c r="O866" t="s">
        <v>4982</v>
      </c>
      <c r="P866" t="s">
        <v>18</v>
      </c>
    </row>
    <row r="867" spans="1:16" x14ac:dyDescent="0.35">
      <c r="A867">
        <v>6037675</v>
      </c>
      <c r="B867" t="s">
        <v>4983</v>
      </c>
      <c r="C867" t="str">
        <f>"9781527541054"</f>
        <v>9781527541054</v>
      </c>
      <c r="D867" t="str">
        <f>"9781527546486"</f>
        <v>9781527546486</v>
      </c>
      <c r="E867" t="s">
        <v>1662</v>
      </c>
      <c r="F867" t="s">
        <v>1662</v>
      </c>
      <c r="G867" s="1">
        <v>43875</v>
      </c>
      <c r="H867" s="1">
        <v>43869</v>
      </c>
      <c r="K867" t="s">
        <v>4984</v>
      </c>
      <c r="L867" t="s">
        <v>307</v>
      </c>
      <c r="M867" t="s">
        <v>4985</v>
      </c>
      <c r="N867">
        <v>620.82000000000005</v>
      </c>
      <c r="O867" t="s">
        <v>132</v>
      </c>
      <c r="P867" t="s">
        <v>18</v>
      </c>
    </row>
    <row r="868" spans="1:16" x14ac:dyDescent="0.35">
      <c r="A868">
        <v>6111142</v>
      </c>
      <c r="B868" t="s">
        <v>4986</v>
      </c>
      <c r="C868" t="str">
        <f>"9781799825135"</f>
        <v>9781799825135</v>
      </c>
      <c r="D868" t="str">
        <f>"9781799825159"</f>
        <v>9781799825159</v>
      </c>
      <c r="E868" t="s">
        <v>138</v>
      </c>
      <c r="F868" t="s">
        <v>1764</v>
      </c>
      <c r="G868" s="1">
        <v>43875</v>
      </c>
      <c r="H868" s="1">
        <v>43881</v>
      </c>
      <c r="K868" t="s">
        <v>1774</v>
      </c>
      <c r="L868" t="s">
        <v>26</v>
      </c>
      <c r="M868" t="s">
        <v>4987</v>
      </c>
      <c r="N868" t="s">
        <v>128</v>
      </c>
      <c r="O868" t="s">
        <v>4988</v>
      </c>
      <c r="P868" t="s">
        <v>18</v>
      </c>
    </row>
    <row r="869" spans="1:16" x14ac:dyDescent="0.35">
      <c r="A869">
        <v>6128510</v>
      </c>
      <c r="B869" t="s">
        <v>4989</v>
      </c>
      <c r="C869" t="str">
        <f>"9789811210204"</f>
        <v>9789811210204</v>
      </c>
      <c r="D869" t="str">
        <f>"9789811210211"</f>
        <v>9789811210211</v>
      </c>
      <c r="E869" t="s">
        <v>184</v>
      </c>
      <c r="F869" t="s">
        <v>185</v>
      </c>
      <c r="G869" s="1">
        <v>43874</v>
      </c>
      <c r="H869" s="1">
        <v>43944</v>
      </c>
      <c r="K869" t="s">
        <v>4990</v>
      </c>
      <c r="L869" t="s">
        <v>180</v>
      </c>
      <c r="M869" t="s">
        <v>4991</v>
      </c>
      <c r="N869">
        <v>333.7</v>
      </c>
      <c r="O869" t="s">
        <v>4992</v>
      </c>
      <c r="P869" t="s">
        <v>18</v>
      </c>
    </row>
    <row r="870" spans="1:16" x14ac:dyDescent="0.35">
      <c r="A870">
        <v>6038195</v>
      </c>
      <c r="B870" t="s">
        <v>4993</v>
      </c>
      <c r="C870" t="str">
        <f>"9780128190494"</f>
        <v>9780128190494</v>
      </c>
      <c r="D870" t="str">
        <f>"9780128190500"</f>
        <v>9780128190500</v>
      </c>
      <c r="E870" t="s">
        <v>1699</v>
      </c>
      <c r="F870" t="s">
        <v>1699</v>
      </c>
      <c r="G870" s="1">
        <v>43872</v>
      </c>
      <c r="H870" s="1">
        <v>43869</v>
      </c>
      <c r="K870" t="s">
        <v>4994</v>
      </c>
      <c r="L870" t="s">
        <v>464</v>
      </c>
      <c r="M870" t="s">
        <v>4995</v>
      </c>
      <c r="N870">
        <v>541.39499999999896</v>
      </c>
      <c r="O870" t="s">
        <v>4996</v>
      </c>
      <c r="P870" t="s">
        <v>18</v>
      </c>
    </row>
    <row r="871" spans="1:16" x14ac:dyDescent="0.35">
      <c r="A871">
        <v>6040170</v>
      </c>
      <c r="B871" t="s">
        <v>4997</v>
      </c>
      <c r="C871" t="str">
        <f>"9780128160558"</f>
        <v>9780128160558</v>
      </c>
      <c r="D871" t="str">
        <f>"9780128162934"</f>
        <v>9780128162934</v>
      </c>
      <c r="E871" t="s">
        <v>1699</v>
      </c>
      <c r="F871" t="s">
        <v>1699</v>
      </c>
      <c r="G871" s="1">
        <v>43872</v>
      </c>
      <c r="H871" s="1">
        <v>43874</v>
      </c>
      <c r="K871" t="s">
        <v>4998</v>
      </c>
      <c r="L871" t="s">
        <v>38</v>
      </c>
      <c r="M871" t="s">
        <v>4999</v>
      </c>
      <c r="N871">
        <v>307.14159999999902</v>
      </c>
      <c r="O871" t="s">
        <v>2972</v>
      </c>
      <c r="P871" t="s">
        <v>18</v>
      </c>
    </row>
    <row r="872" spans="1:16" x14ac:dyDescent="0.35">
      <c r="A872">
        <v>6034118</v>
      </c>
      <c r="B872" t="s">
        <v>5000</v>
      </c>
      <c r="C872" t="str">
        <f>"9781793607607"</f>
        <v>9781793607607</v>
      </c>
      <c r="D872" t="str">
        <f>"9781793607614"</f>
        <v>9781793607614</v>
      </c>
      <c r="E872" t="s">
        <v>445</v>
      </c>
      <c r="F872" t="s">
        <v>445</v>
      </c>
      <c r="G872" s="1">
        <v>43868</v>
      </c>
      <c r="H872" s="1">
        <v>43866</v>
      </c>
      <c r="J872" t="s">
        <v>2378</v>
      </c>
      <c r="K872" t="s">
        <v>5001</v>
      </c>
      <c r="L872" t="s">
        <v>210</v>
      </c>
      <c r="M872" t="s">
        <v>5002</v>
      </c>
      <c r="N872">
        <v>304.2</v>
      </c>
      <c r="O872" t="s">
        <v>2421</v>
      </c>
      <c r="P872" t="s">
        <v>18</v>
      </c>
    </row>
    <row r="873" spans="1:16" x14ac:dyDescent="0.35">
      <c r="A873">
        <v>6012349</v>
      </c>
      <c r="B873" t="s">
        <v>5003</v>
      </c>
      <c r="C873" t="str">
        <f>"9781538109007"</f>
        <v>9781538109007</v>
      </c>
      <c r="D873" t="str">
        <f>"9781538109021"</f>
        <v>9781538109021</v>
      </c>
      <c r="E873" t="s">
        <v>443</v>
      </c>
      <c r="F873" t="s">
        <v>443</v>
      </c>
      <c r="G873" s="1">
        <v>43867</v>
      </c>
      <c r="H873" s="1">
        <v>43845</v>
      </c>
      <c r="I873">
        <v>2</v>
      </c>
      <c r="K873" t="s">
        <v>5004</v>
      </c>
      <c r="L873" t="s">
        <v>234</v>
      </c>
      <c r="M873" t="s">
        <v>5005</v>
      </c>
      <c r="N873">
        <v>25.84</v>
      </c>
      <c r="O873" t="s">
        <v>4621</v>
      </c>
      <c r="P873" t="s">
        <v>18</v>
      </c>
    </row>
    <row r="874" spans="1:16" x14ac:dyDescent="0.35">
      <c r="A874">
        <v>6028659</v>
      </c>
      <c r="B874" t="s">
        <v>5006</v>
      </c>
      <c r="C874" t="str">
        <f>"9781536162776"</f>
        <v>9781536162776</v>
      </c>
      <c r="D874" t="str">
        <f>"9781536165180"</f>
        <v>9781536165180</v>
      </c>
      <c r="E874" t="s">
        <v>1689</v>
      </c>
      <c r="F874" t="s">
        <v>1689</v>
      </c>
      <c r="G874" s="1">
        <v>43865</v>
      </c>
      <c r="H874" s="1">
        <v>43858</v>
      </c>
      <c r="I874">
        <v>1</v>
      </c>
      <c r="J874" t="s">
        <v>5007</v>
      </c>
      <c r="K874" t="s">
        <v>5008</v>
      </c>
      <c r="L874" t="s">
        <v>28</v>
      </c>
      <c r="N874">
        <v>657.09598000000005</v>
      </c>
      <c r="P874" t="s">
        <v>18</v>
      </c>
    </row>
    <row r="875" spans="1:16" x14ac:dyDescent="0.35">
      <c r="A875">
        <v>6028676</v>
      </c>
      <c r="B875" t="s">
        <v>5009</v>
      </c>
      <c r="C875" t="str">
        <f>"9781536164817"</f>
        <v>9781536164817</v>
      </c>
      <c r="D875" t="str">
        <f>"9781536164824"</f>
        <v>9781536164824</v>
      </c>
      <c r="E875" t="s">
        <v>1689</v>
      </c>
      <c r="F875" t="s">
        <v>1689</v>
      </c>
      <c r="G875" s="1">
        <v>43865</v>
      </c>
      <c r="H875" s="1">
        <v>43858</v>
      </c>
      <c r="I875">
        <v>1</v>
      </c>
      <c r="J875" t="s">
        <v>4458</v>
      </c>
      <c r="K875" t="s">
        <v>5010</v>
      </c>
      <c r="L875" t="s">
        <v>1712</v>
      </c>
      <c r="P875" t="s">
        <v>18</v>
      </c>
    </row>
    <row r="876" spans="1:16" x14ac:dyDescent="0.35">
      <c r="A876">
        <v>6032705</v>
      </c>
      <c r="B876" t="s">
        <v>5011</v>
      </c>
      <c r="C876" t="str">
        <f>"9781789205596"</f>
        <v>9781789205596</v>
      </c>
      <c r="D876" t="str">
        <f>"9781789205602"</f>
        <v>9781789205602</v>
      </c>
      <c r="E876" t="s">
        <v>447</v>
      </c>
      <c r="F876" t="s">
        <v>447</v>
      </c>
      <c r="G876" s="1">
        <v>43864</v>
      </c>
      <c r="H876" s="1">
        <v>43862</v>
      </c>
      <c r="I876">
        <v>1</v>
      </c>
      <c r="J876" t="s">
        <v>5012</v>
      </c>
      <c r="K876" t="s">
        <v>5013</v>
      </c>
      <c r="L876" t="s">
        <v>28</v>
      </c>
      <c r="M876" t="s">
        <v>5014</v>
      </c>
      <c r="P876" t="s">
        <v>18</v>
      </c>
    </row>
    <row r="877" spans="1:16" x14ac:dyDescent="0.35">
      <c r="A877">
        <v>6032706</v>
      </c>
      <c r="B877" t="s">
        <v>5015</v>
      </c>
      <c r="C877" t="str">
        <f>"9781789206258"</f>
        <v>9781789206258</v>
      </c>
      <c r="D877" t="str">
        <f>"9781789206265"</f>
        <v>9781789206265</v>
      </c>
      <c r="E877" t="s">
        <v>447</v>
      </c>
      <c r="F877" t="s">
        <v>447</v>
      </c>
      <c r="G877" s="1">
        <v>43864</v>
      </c>
      <c r="H877" s="1">
        <v>43862</v>
      </c>
      <c r="I877">
        <v>1</v>
      </c>
      <c r="J877" t="s">
        <v>4594</v>
      </c>
      <c r="K877" t="s">
        <v>5016</v>
      </c>
      <c r="L877" t="s">
        <v>168</v>
      </c>
      <c r="M877" t="s">
        <v>5017</v>
      </c>
      <c r="P877" t="s">
        <v>18</v>
      </c>
    </row>
    <row r="878" spans="1:16" x14ac:dyDescent="0.35">
      <c r="A878">
        <v>6032708</v>
      </c>
      <c r="B878" t="s">
        <v>5018</v>
      </c>
      <c r="C878" t="str">
        <f>"9781789206234"</f>
        <v>9781789206234</v>
      </c>
      <c r="D878" t="str">
        <f>"9781789206241"</f>
        <v>9781789206241</v>
      </c>
      <c r="E878" t="s">
        <v>447</v>
      </c>
      <c r="F878" t="s">
        <v>447</v>
      </c>
      <c r="G878" s="1">
        <v>43864</v>
      </c>
      <c r="H878" s="1">
        <v>43862</v>
      </c>
      <c r="I878">
        <v>1</v>
      </c>
      <c r="K878" t="s">
        <v>5019</v>
      </c>
      <c r="L878" t="s">
        <v>38</v>
      </c>
      <c r="P878" t="s">
        <v>18</v>
      </c>
    </row>
    <row r="879" spans="1:16" x14ac:dyDescent="0.35">
      <c r="A879">
        <v>6033311</v>
      </c>
      <c r="B879" t="s">
        <v>5020</v>
      </c>
      <c r="C879" t="str">
        <f>"9780128172476"</f>
        <v>9780128172476</v>
      </c>
      <c r="D879" t="str">
        <f>"9780128172483"</f>
        <v>9780128172483</v>
      </c>
      <c r="E879" t="s">
        <v>190</v>
      </c>
      <c r="F879" t="s">
        <v>191</v>
      </c>
      <c r="G879" s="1">
        <v>43864</v>
      </c>
      <c r="H879" s="1">
        <v>43863</v>
      </c>
      <c r="K879" t="s">
        <v>5021</v>
      </c>
      <c r="L879" t="s">
        <v>235</v>
      </c>
      <c r="M879" t="s">
        <v>5022</v>
      </c>
      <c r="N879">
        <v>621.04200000000003</v>
      </c>
      <c r="O879" t="s">
        <v>5023</v>
      </c>
      <c r="P879" t="s">
        <v>18</v>
      </c>
    </row>
    <row r="880" spans="1:16" x14ac:dyDescent="0.35">
      <c r="A880">
        <v>6034439</v>
      </c>
      <c r="B880" t="s">
        <v>5024</v>
      </c>
      <c r="C880" t="str">
        <f>"9780128182932"</f>
        <v>9780128182932</v>
      </c>
      <c r="D880" t="str">
        <f>"9780128182949"</f>
        <v>9780128182949</v>
      </c>
      <c r="E880" t="s">
        <v>190</v>
      </c>
      <c r="F880" t="s">
        <v>191</v>
      </c>
      <c r="G880" s="1">
        <v>43864</v>
      </c>
      <c r="H880" s="1">
        <v>43866</v>
      </c>
      <c r="K880" t="s">
        <v>5025</v>
      </c>
      <c r="L880" t="s">
        <v>41</v>
      </c>
      <c r="M880" t="s">
        <v>5026</v>
      </c>
      <c r="N880">
        <v>338.19</v>
      </c>
      <c r="O880" t="s">
        <v>5027</v>
      </c>
      <c r="P880" t="s">
        <v>18</v>
      </c>
    </row>
    <row r="881" spans="1:16" x14ac:dyDescent="0.35">
      <c r="A881">
        <v>6012381</v>
      </c>
      <c r="B881" t="s">
        <v>5028</v>
      </c>
      <c r="C881" t="str">
        <f>"9781493042746"</f>
        <v>9781493042746</v>
      </c>
      <c r="D881" t="str">
        <f>"9781493042753"</f>
        <v>9781493042753</v>
      </c>
      <c r="E881" t="s">
        <v>4373</v>
      </c>
      <c r="F881" t="s">
        <v>4373</v>
      </c>
      <c r="G881" s="1">
        <v>43862</v>
      </c>
      <c r="H881" s="1">
        <v>43845</v>
      </c>
      <c r="K881" t="s">
        <v>5029</v>
      </c>
      <c r="L881" t="s">
        <v>5030</v>
      </c>
      <c r="M881" t="s">
        <v>5031</v>
      </c>
      <c r="N881">
        <v>747.88599999999997</v>
      </c>
      <c r="O881" t="s">
        <v>5032</v>
      </c>
      <c r="P881" t="s">
        <v>18</v>
      </c>
    </row>
    <row r="882" spans="1:16" x14ac:dyDescent="0.35">
      <c r="A882">
        <v>6012367</v>
      </c>
      <c r="B882" t="s">
        <v>5033</v>
      </c>
      <c r="C882" t="str">
        <f>"9781538131503"</f>
        <v>9781538131503</v>
      </c>
      <c r="D882" t="str">
        <f>"9781538131510"</f>
        <v>9781538131510</v>
      </c>
      <c r="E882" t="s">
        <v>443</v>
      </c>
      <c r="F882" t="s">
        <v>443</v>
      </c>
      <c r="G882" s="1">
        <v>43860</v>
      </c>
      <c r="H882" s="1">
        <v>43845</v>
      </c>
      <c r="K882" t="s">
        <v>5034</v>
      </c>
      <c r="L882" t="s">
        <v>53</v>
      </c>
      <c r="M882" t="s">
        <v>5035</v>
      </c>
      <c r="N882">
        <v>363.70097299999998</v>
      </c>
      <c r="O882" t="s">
        <v>4796</v>
      </c>
      <c r="P882" t="s">
        <v>18</v>
      </c>
    </row>
    <row r="883" spans="1:16" x14ac:dyDescent="0.35">
      <c r="A883">
        <v>6031618</v>
      </c>
      <c r="B883" t="s">
        <v>5036</v>
      </c>
      <c r="C883" t="str">
        <f>"9780128170618"</f>
        <v>9780128170618</v>
      </c>
      <c r="D883" t="str">
        <f>"9780128170625"</f>
        <v>9780128170625</v>
      </c>
      <c r="E883" t="s">
        <v>190</v>
      </c>
      <c r="F883" t="s">
        <v>191</v>
      </c>
      <c r="G883" s="1">
        <v>43860</v>
      </c>
      <c r="H883" s="1">
        <v>43860</v>
      </c>
      <c r="K883" t="s">
        <v>5037</v>
      </c>
      <c r="L883" t="s">
        <v>141</v>
      </c>
      <c r="M883" t="s">
        <v>5038</v>
      </c>
      <c r="N883">
        <v>621.31244000000004</v>
      </c>
      <c r="O883" t="s">
        <v>5039</v>
      </c>
      <c r="P883" t="s">
        <v>18</v>
      </c>
    </row>
    <row r="884" spans="1:16" x14ac:dyDescent="0.35">
      <c r="A884">
        <v>6032773</v>
      </c>
      <c r="B884" t="s">
        <v>5040</v>
      </c>
      <c r="C884" t="str">
        <f>"9780128198520"</f>
        <v>9780128198520</v>
      </c>
      <c r="D884" t="str">
        <f>"9780128198537"</f>
        <v>9780128198537</v>
      </c>
      <c r="E884" t="s">
        <v>1699</v>
      </c>
      <c r="F884" t="s">
        <v>1699</v>
      </c>
      <c r="G884" s="1">
        <v>43860</v>
      </c>
      <c r="H884" s="1">
        <v>43862</v>
      </c>
      <c r="K884" t="s">
        <v>5041</v>
      </c>
      <c r="L884" t="s">
        <v>76</v>
      </c>
      <c r="M884" t="s">
        <v>5042</v>
      </c>
      <c r="N884">
        <v>660.28319999999997</v>
      </c>
      <c r="O884" t="s">
        <v>5043</v>
      </c>
      <c r="P884" t="s">
        <v>18</v>
      </c>
    </row>
    <row r="885" spans="1:16" x14ac:dyDescent="0.35">
      <c r="A885">
        <v>6032774</v>
      </c>
      <c r="B885" t="s">
        <v>5044</v>
      </c>
      <c r="C885" t="str">
        <f>"9780128186923"</f>
        <v>9780128186923</v>
      </c>
      <c r="D885" t="str">
        <f>"9780128186930"</f>
        <v>9780128186930</v>
      </c>
      <c r="E885" t="s">
        <v>190</v>
      </c>
      <c r="F885" t="s">
        <v>191</v>
      </c>
      <c r="G885" s="1">
        <v>43860</v>
      </c>
      <c r="H885" s="1">
        <v>43862</v>
      </c>
      <c r="K885" t="s">
        <v>5045</v>
      </c>
      <c r="L885" t="s">
        <v>26</v>
      </c>
      <c r="M885" t="s">
        <v>5046</v>
      </c>
      <c r="N885">
        <v>332.6</v>
      </c>
      <c r="O885" t="s">
        <v>2272</v>
      </c>
      <c r="P885" t="s">
        <v>18</v>
      </c>
    </row>
    <row r="886" spans="1:16" x14ac:dyDescent="0.35">
      <c r="A886">
        <v>6033307</v>
      </c>
      <c r="B886" t="s">
        <v>5047</v>
      </c>
      <c r="C886" t="str">
        <f>"9780128198094"</f>
        <v>9780128198094</v>
      </c>
      <c r="D886" t="str">
        <f>"9780128214176"</f>
        <v>9780128214176</v>
      </c>
      <c r="E886" t="s">
        <v>1699</v>
      </c>
      <c r="F886" t="s">
        <v>1699</v>
      </c>
      <c r="G886" s="1">
        <v>43860</v>
      </c>
      <c r="H886" s="1">
        <v>43863</v>
      </c>
      <c r="K886" t="s">
        <v>5048</v>
      </c>
      <c r="L886" t="s">
        <v>118</v>
      </c>
      <c r="M886" t="s">
        <v>5049</v>
      </c>
      <c r="N886">
        <v>660.28319999999906</v>
      </c>
      <c r="O886" t="s">
        <v>5043</v>
      </c>
      <c r="P886" t="s">
        <v>18</v>
      </c>
    </row>
    <row r="887" spans="1:16" x14ac:dyDescent="0.35">
      <c r="A887">
        <v>6033310</v>
      </c>
      <c r="B887" t="s">
        <v>5050</v>
      </c>
      <c r="C887" t="str">
        <f>"9780128198544"</f>
        <v>9780128198544</v>
      </c>
      <c r="D887" t="str">
        <f>"9780128198551"</f>
        <v>9780128198551</v>
      </c>
      <c r="E887" t="s">
        <v>1699</v>
      </c>
      <c r="F887" t="s">
        <v>1699</v>
      </c>
      <c r="G887" s="1">
        <v>43860</v>
      </c>
      <c r="H887" s="1">
        <v>43863</v>
      </c>
      <c r="K887" t="s">
        <v>5051</v>
      </c>
      <c r="L887" t="s">
        <v>118</v>
      </c>
      <c r="M887" t="s">
        <v>5049</v>
      </c>
      <c r="N887">
        <v>660.28319999999906</v>
      </c>
      <c r="O887" t="s">
        <v>5043</v>
      </c>
      <c r="P887" t="s">
        <v>18</v>
      </c>
    </row>
    <row r="888" spans="1:16" x14ac:dyDescent="0.35">
      <c r="A888">
        <v>6028100</v>
      </c>
      <c r="B888" t="s">
        <v>5052</v>
      </c>
      <c r="C888" t="str">
        <f>"9780128164495"</f>
        <v>9780128164495</v>
      </c>
      <c r="D888" t="str">
        <f>"9780128175156"</f>
        <v>9780128175156</v>
      </c>
      <c r="E888" t="s">
        <v>190</v>
      </c>
      <c r="F888" t="s">
        <v>191</v>
      </c>
      <c r="G888" s="1">
        <v>43854</v>
      </c>
      <c r="H888" s="1">
        <v>43856</v>
      </c>
      <c r="K888" t="s">
        <v>5053</v>
      </c>
      <c r="L888" t="s">
        <v>5054</v>
      </c>
      <c r="M888" t="s">
        <v>5055</v>
      </c>
      <c r="N888">
        <v>338.47640999999999</v>
      </c>
      <c r="O888" t="s">
        <v>3371</v>
      </c>
      <c r="P888" t="s">
        <v>18</v>
      </c>
    </row>
    <row r="889" spans="1:16" x14ac:dyDescent="0.35">
      <c r="A889">
        <v>5997009</v>
      </c>
      <c r="B889" t="s">
        <v>5056</v>
      </c>
      <c r="C889" t="str">
        <f>"9781350130821"</f>
        <v>9781350130821</v>
      </c>
      <c r="D889" t="str">
        <f>"9781350130838"</f>
        <v>9781350130838</v>
      </c>
      <c r="E889" t="s">
        <v>354</v>
      </c>
      <c r="F889" t="s">
        <v>355</v>
      </c>
      <c r="G889" s="1">
        <v>43853</v>
      </c>
      <c r="H889" s="1">
        <v>43819</v>
      </c>
      <c r="K889" t="s">
        <v>5057</v>
      </c>
      <c r="L889" t="s">
        <v>202</v>
      </c>
      <c r="M889" t="s">
        <v>5058</v>
      </c>
      <c r="N889">
        <v>333.91009548</v>
      </c>
      <c r="O889" t="s">
        <v>712</v>
      </c>
      <c r="P889" t="s">
        <v>18</v>
      </c>
    </row>
    <row r="890" spans="1:16" x14ac:dyDescent="0.35">
      <c r="A890">
        <v>6038595</v>
      </c>
      <c r="B890" t="s">
        <v>5059</v>
      </c>
      <c r="C890" t="str">
        <f>"9782807611108"</f>
        <v>9782807611108</v>
      </c>
      <c r="D890" t="str">
        <f>"9782807611283"</f>
        <v>9782807611283</v>
      </c>
      <c r="E890" t="s">
        <v>5060</v>
      </c>
      <c r="F890" t="s">
        <v>5060</v>
      </c>
      <c r="G890" s="1">
        <v>43852</v>
      </c>
      <c r="H890" s="1">
        <v>43872</v>
      </c>
      <c r="I890">
        <v>1</v>
      </c>
      <c r="J890" t="s">
        <v>5061</v>
      </c>
      <c r="K890" t="s">
        <v>5062</v>
      </c>
      <c r="L890" t="s">
        <v>283</v>
      </c>
      <c r="M890" t="s">
        <v>5063</v>
      </c>
      <c r="N890" t="s">
        <v>5064</v>
      </c>
      <c r="O890" t="s">
        <v>5065</v>
      </c>
      <c r="P890" t="s">
        <v>18</v>
      </c>
    </row>
    <row r="891" spans="1:16" x14ac:dyDescent="0.35">
      <c r="A891">
        <v>5997381</v>
      </c>
      <c r="B891" t="s">
        <v>5066</v>
      </c>
      <c r="C891" t="str">
        <f>"9781538116371"</f>
        <v>9781538116371</v>
      </c>
      <c r="D891" t="str">
        <f>"9781538116388"</f>
        <v>9781538116388</v>
      </c>
      <c r="E891" t="s">
        <v>443</v>
      </c>
      <c r="F891" t="s">
        <v>443</v>
      </c>
      <c r="G891" s="1">
        <v>43851</v>
      </c>
      <c r="H891" s="1">
        <v>43821</v>
      </c>
      <c r="I891">
        <v>2</v>
      </c>
      <c r="K891" t="s">
        <v>5067</v>
      </c>
      <c r="L891" t="s">
        <v>202</v>
      </c>
      <c r="M891" t="s">
        <v>5068</v>
      </c>
      <c r="N891">
        <v>333.79097300000001</v>
      </c>
      <c r="O891" t="s">
        <v>5069</v>
      </c>
      <c r="P891" t="s">
        <v>18</v>
      </c>
    </row>
    <row r="892" spans="1:16" x14ac:dyDescent="0.35">
      <c r="A892">
        <v>5995164</v>
      </c>
      <c r="B892" t="s">
        <v>5070</v>
      </c>
      <c r="C892" t="str">
        <f>""</f>
        <v/>
      </c>
      <c r="D892" t="str">
        <f>"9783110643763"</f>
        <v>9783110643763</v>
      </c>
      <c r="E892" t="s">
        <v>404</v>
      </c>
      <c r="F892" t="s">
        <v>4430</v>
      </c>
      <c r="G892" s="1">
        <v>43850</v>
      </c>
      <c r="H892" s="1">
        <v>43815</v>
      </c>
      <c r="J892" t="s">
        <v>5071</v>
      </c>
      <c r="K892" t="s">
        <v>5072</v>
      </c>
      <c r="L892" t="s">
        <v>64</v>
      </c>
      <c r="M892" t="s">
        <v>5073</v>
      </c>
      <c r="N892">
        <v>338.47910000000002</v>
      </c>
      <c r="O892" t="s">
        <v>327</v>
      </c>
      <c r="P892" t="s">
        <v>18</v>
      </c>
    </row>
    <row r="893" spans="1:16" x14ac:dyDescent="0.35">
      <c r="A893">
        <v>6033378</v>
      </c>
      <c r="B893" t="s">
        <v>5074</v>
      </c>
      <c r="C893" t="str">
        <f>""</f>
        <v/>
      </c>
      <c r="D893" t="str">
        <f>"9783035615111"</f>
        <v>9783035615111</v>
      </c>
      <c r="E893" t="s">
        <v>404</v>
      </c>
      <c r="F893" t="s">
        <v>2014</v>
      </c>
      <c r="G893" s="1">
        <v>43850</v>
      </c>
      <c r="H893" s="1">
        <v>43864</v>
      </c>
      <c r="K893" t="s">
        <v>5075</v>
      </c>
      <c r="L893" t="s">
        <v>61</v>
      </c>
      <c r="M893" t="s">
        <v>5076</v>
      </c>
      <c r="N893">
        <v>720.47</v>
      </c>
      <c r="O893" t="s">
        <v>5077</v>
      </c>
      <c r="P893" t="s">
        <v>18</v>
      </c>
    </row>
    <row r="894" spans="1:16" x14ac:dyDescent="0.35">
      <c r="A894">
        <v>6038150</v>
      </c>
      <c r="B894" t="s">
        <v>5078</v>
      </c>
      <c r="C894" t="str">
        <f>""</f>
        <v/>
      </c>
      <c r="D894" t="str">
        <f>"9783736983106"</f>
        <v>9783736983106</v>
      </c>
      <c r="E894" t="s">
        <v>2357</v>
      </c>
      <c r="F894" t="s">
        <v>2357</v>
      </c>
      <c r="G894" s="1">
        <v>43844</v>
      </c>
      <c r="H894" s="1">
        <v>43869</v>
      </c>
      <c r="I894">
        <v>1</v>
      </c>
      <c r="J894" t="s">
        <v>5079</v>
      </c>
      <c r="K894" t="s">
        <v>5080</v>
      </c>
      <c r="L894" t="s">
        <v>26</v>
      </c>
      <c r="M894" t="s">
        <v>5081</v>
      </c>
      <c r="N894">
        <v>338.92700000000002</v>
      </c>
      <c r="O894" t="s">
        <v>5082</v>
      </c>
      <c r="P894" t="s">
        <v>522</v>
      </c>
    </row>
    <row r="895" spans="1:16" x14ac:dyDescent="0.35">
      <c r="A895">
        <v>6039287</v>
      </c>
      <c r="B895" t="s">
        <v>5083</v>
      </c>
      <c r="C895" t="str">
        <f>"9789811206597"</f>
        <v>9789811206597</v>
      </c>
      <c r="D895" t="str">
        <f>"9789811206603"</f>
        <v>9789811206603</v>
      </c>
      <c r="E895" t="s">
        <v>184</v>
      </c>
      <c r="F895" t="s">
        <v>185</v>
      </c>
      <c r="G895" s="1">
        <v>43844</v>
      </c>
      <c r="H895" s="1">
        <v>43873</v>
      </c>
      <c r="K895" t="s">
        <v>5084</v>
      </c>
      <c r="L895" t="s">
        <v>28</v>
      </c>
      <c r="M895" t="s">
        <v>5085</v>
      </c>
      <c r="N895">
        <v>658.40800000000002</v>
      </c>
      <c r="O895" t="s">
        <v>2272</v>
      </c>
      <c r="P895" t="s">
        <v>18</v>
      </c>
    </row>
    <row r="896" spans="1:16" x14ac:dyDescent="0.35">
      <c r="A896">
        <v>6001499</v>
      </c>
      <c r="B896" t="s">
        <v>5086</v>
      </c>
      <c r="C896" t="str">
        <f>"9781789206074"</f>
        <v>9781789206074</v>
      </c>
      <c r="D896" t="str">
        <f>"9781789206081"</f>
        <v>9781789206081</v>
      </c>
      <c r="E896" t="s">
        <v>447</v>
      </c>
      <c r="F896" t="s">
        <v>447</v>
      </c>
      <c r="G896" s="1">
        <v>43840</v>
      </c>
      <c r="H896" s="1">
        <v>43826</v>
      </c>
      <c r="I896">
        <v>1</v>
      </c>
      <c r="K896" t="s">
        <v>5087</v>
      </c>
      <c r="L896" t="s">
        <v>34</v>
      </c>
      <c r="M896" t="s">
        <v>5088</v>
      </c>
      <c r="P896" t="s">
        <v>18</v>
      </c>
    </row>
    <row r="897" spans="1:16" x14ac:dyDescent="0.35">
      <c r="A897">
        <v>5996245</v>
      </c>
      <c r="B897" t="s">
        <v>5089</v>
      </c>
      <c r="C897" t="str">
        <f>"9781472969125"</f>
        <v>9781472969125</v>
      </c>
      <c r="D897" t="str">
        <f>"9781472969132"</f>
        <v>9781472969132</v>
      </c>
      <c r="E897" t="s">
        <v>354</v>
      </c>
      <c r="F897" t="s">
        <v>5090</v>
      </c>
      <c r="G897" s="1">
        <v>43839</v>
      </c>
      <c r="H897" s="1">
        <v>43818</v>
      </c>
      <c r="K897" t="s">
        <v>5091</v>
      </c>
      <c r="L897" t="s">
        <v>105</v>
      </c>
      <c r="M897" t="s">
        <v>5092</v>
      </c>
      <c r="N897">
        <v>363.7</v>
      </c>
      <c r="O897" t="s">
        <v>3622</v>
      </c>
      <c r="P897" t="s">
        <v>18</v>
      </c>
    </row>
    <row r="898" spans="1:16" x14ac:dyDescent="0.35">
      <c r="A898">
        <v>6001843</v>
      </c>
      <c r="B898" t="s">
        <v>5093</v>
      </c>
      <c r="C898" t="str">
        <f>"9781786394286"</f>
        <v>9781786394286</v>
      </c>
      <c r="D898" t="str">
        <f>"9781786394309"</f>
        <v>9781786394309</v>
      </c>
      <c r="E898" t="s">
        <v>333</v>
      </c>
      <c r="F898" t="s">
        <v>333</v>
      </c>
      <c r="G898" s="1">
        <v>43839</v>
      </c>
      <c r="H898" s="1">
        <v>43827</v>
      </c>
      <c r="K898" t="s">
        <v>5094</v>
      </c>
      <c r="L898" t="s">
        <v>271</v>
      </c>
      <c r="M898" t="s">
        <v>5095</v>
      </c>
      <c r="N898">
        <v>910.68799999999896</v>
      </c>
      <c r="O898" t="s">
        <v>5096</v>
      </c>
      <c r="P898" t="s">
        <v>18</v>
      </c>
    </row>
    <row r="899" spans="1:16" x14ac:dyDescent="0.35">
      <c r="A899">
        <v>6012348</v>
      </c>
      <c r="B899" t="s">
        <v>5097</v>
      </c>
      <c r="C899" t="str">
        <f>"9781538116692"</f>
        <v>9781538116692</v>
      </c>
      <c r="D899" t="str">
        <f>"9781538116708"</f>
        <v>9781538116708</v>
      </c>
      <c r="E899" t="s">
        <v>443</v>
      </c>
      <c r="F899" t="s">
        <v>443</v>
      </c>
      <c r="G899" s="1">
        <v>43839</v>
      </c>
      <c r="H899" s="1">
        <v>43845</v>
      </c>
      <c r="I899">
        <v>3</v>
      </c>
      <c r="K899" t="s">
        <v>5098</v>
      </c>
      <c r="L899" t="s">
        <v>144</v>
      </c>
      <c r="M899" t="s">
        <v>5099</v>
      </c>
      <c r="N899">
        <v>577</v>
      </c>
      <c r="O899" t="s">
        <v>5100</v>
      </c>
      <c r="P899" t="s">
        <v>18</v>
      </c>
    </row>
    <row r="900" spans="1:16" x14ac:dyDescent="0.35">
      <c r="A900">
        <v>6023754</v>
      </c>
      <c r="B900" t="s">
        <v>5101</v>
      </c>
      <c r="C900" t="str">
        <f>"9780128131954"</f>
        <v>9780128131954</v>
      </c>
      <c r="D900" t="str">
        <f>"9780128131961"</f>
        <v>9780128131961</v>
      </c>
      <c r="E900" t="s">
        <v>1699</v>
      </c>
      <c r="F900" t="s">
        <v>1699</v>
      </c>
      <c r="G900" s="1">
        <v>43839</v>
      </c>
      <c r="H900" s="1">
        <v>43854</v>
      </c>
      <c r="K900" t="s">
        <v>5102</v>
      </c>
      <c r="L900" t="s">
        <v>368</v>
      </c>
      <c r="M900" t="s">
        <v>5103</v>
      </c>
      <c r="N900">
        <v>333.7</v>
      </c>
      <c r="O900" t="s">
        <v>4992</v>
      </c>
      <c r="P900" t="s">
        <v>18</v>
      </c>
    </row>
    <row r="901" spans="1:16" x14ac:dyDescent="0.35">
      <c r="A901">
        <v>6026292</v>
      </c>
      <c r="B901" t="s">
        <v>5104</v>
      </c>
      <c r="C901" t="str">
        <f>"9781536167771"</f>
        <v>9781536167771</v>
      </c>
      <c r="D901" t="str">
        <f>"9781536167788"</f>
        <v>9781536167788</v>
      </c>
      <c r="E901" t="s">
        <v>1689</v>
      </c>
      <c r="F901" t="s">
        <v>1689</v>
      </c>
      <c r="G901" s="1">
        <v>43839</v>
      </c>
      <c r="H901" s="1">
        <v>43853</v>
      </c>
      <c r="I901">
        <v>1</v>
      </c>
      <c r="J901" t="s">
        <v>3854</v>
      </c>
      <c r="K901" t="s">
        <v>5105</v>
      </c>
      <c r="L901" t="s">
        <v>26</v>
      </c>
      <c r="N901" t="s">
        <v>71</v>
      </c>
      <c r="P901" t="s">
        <v>18</v>
      </c>
    </row>
    <row r="902" spans="1:16" x14ac:dyDescent="0.35">
      <c r="A902">
        <v>6026555</v>
      </c>
      <c r="B902" t="s">
        <v>5106</v>
      </c>
      <c r="C902" t="str">
        <f>"9781536169416"</f>
        <v>9781536169416</v>
      </c>
      <c r="D902" t="str">
        <f>"9781536169423"</f>
        <v>9781536169423</v>
      </c>
      <c r="E902" t="s">
        <v>1689</v>
      </c>
      <c r="F902" t="s">
        <v>1689</v>
      </c>
      <c r="G902" s="1">
        <v>43837</v>
      </c>
      <c r="H902" s="1">
        <v>43853</v>
      </c>
      <c r="I902">
        <v>1</v>
      </c>
      <c r="J902" t="s">
        <v>5107</v>
      </c>
      <c r="K902" t="s">
        <v>5108</v>
      </c>
      <c r="L902" t="s">
        <v>1712</v>
      </c>
      <c r="P902" t="s">
        <v>18</v>
      </c>
    </row>
    <row r="903" spans="1:16" x14ac:dyDescent="0.35">
      <c r="A903">
        <v>6111127</v>
      </c>
      <c r="B903" t="s">
        <v>5109</v>
      </c>
      <c r="C903" t="str">
        <f>"9781799816119"</f>
        <v>9781799816119</v>
      </c>
      <c r="D903" t="str">
        <f>"9781799816126"</f>
        <v>9781799816126</v>
      </c>
      <c r="E903" t="s">
        <v>138</v>
      </c>
      <c r="F903" t="s">
        <v>1769</v>
      </c>
      <c r="G903" s="1">
        <v>43833</v>
      </c>
      <c r="H903" s="1">
        <v>43881</v>
      </c>
      <c r="K903" t="s">
        <v>5110</v>
      </c>
      <c r="L903" t="s">
        <v>41</v>
      </c>
      <c r="M903" t="s">
        <v>5111</v>
      </c>
      <c r="N903" t="s">
        <v>5112</v>
      </c>
      <c r="O903" t="s">
        <v>5113</v>
      </c>
      <c r="P903" t="s">
        <v>18</v>
      </c>
    </row>
    <row r="904" spans="1:16" x14ac:dyDescent="0.35">
      <c r="A904">
        <v>5916626</v>
      </c>
      <c r="B904" t="s">
        <v>5114</v>
      </c>
      <c r="C904" t="str">
        <f>""</f>
        <v/>
      </c>
      <c r="D904" t="str">
        <f>"9781799802266"</f>
        <v>9781799802266</v>
      </c>
      <c r="E904" t="s">
        <v>138</v>
      </c>
      <c r="F904" t="s">
        <v>138</v>
      </c>
      <c r="G904" s="1">
        <v>43831</v>
      </c>
      <c r="H904" s="1">
        <v>43743</v>
      </c>
      <c r="K904" t="s">
        <v>2410</v>
      </c>
      <c r="L904" t="s">
        <v>38</v>
      </c>
      <c r="M904" t="s">
        <v>5115</v>
      </c>
      <c r="N904">
        <v>305</v>
      </c>
      <c r="O904" t="s">
        <v>2822</v>
      </c>
      <c r="P904" t="s">
        <v>18</v>
      </c>
    </row>
    <row r="905" spans="1:16" x14ac:dyDescent="0.35">
      <c r="A905">
        <v>6001574</v>
      </c>
      <c r="B905" t="s">
        <v>5116</v>
      </c>
      <c r="C905" t="str">
        <f>""</f>
        <v/>
      </c>
      <c r="D905" t="str">
        <f>"9781799808398"</f>
        <v>9781799808398</v>
      </c>
      <c r="E905" t="s">
        <v>138</v>
      </c>
      <c r="F905" t="s">
        <v>138</v>
      </c>
      <c r="G905" s="1">
        <v>43831</v>
      </c>
      <c r="H905" s="1">
        <v>43826</v>
      </c>
      <c r="K905" t="s">
        <v>4898</v>
      </c>
      <c r="L905" t="s">
        <v>41</v>
      </c>
      <c r="M905" t="s">
        <v>4851</v>
      </c>
      <c r="N905">
        <v>338.92700000000002</v>
      </c>
      <c r="O905" t="s">
        <v>3719</v>
      </c>
      <c r="P905" t="s">
        <v>18</v>
      </c>
    </row>
    <row r="906" spans="1:16" x14ac:dyDescent="0.35">
      <c r="A906">
        <v>6210986</v>
      </c>
      <c r="B906" t="s">
        <v>5117</v>
      </c>
      <c r="C906" t="str">
        <f>""</f>
        <v/>
      </c>
      <c r="D906" t="str">
        <f>"9781799807971"</f>
        <v>9781799807971</v>
      </c>
      <c r="E906" t="s">
        <v>138</v>
      </c>
      <c r="F906" t="s">
        <v>138</v>
      </c>
      <c r="G906" s="1">
        <v>43831</v>
      </c>
      <c r="H906" s="1">
        <v>43980</v>
      </c>
      <c r="K906" t="s">
        <v>3292</v>
      </c>
      <c r="L906" t="s">
        <v>26</v>
      </c>
      <c r="M906" t="s">
        <v>5118</v>
      </c>
      <c r="N906">
        <v>338.92700000000002</v>
      </c>
      <c r="O906" t="s">
        <v>503</v>
      </c>
      <c r="P906" t="s">
        <v>18</v>
      </c>
    </row>
    <row r="907" spans="1:16" x14ac:dyDescent="0.35">
      <c r="A907">
        <v>6000137</v>
      </c>
      <c r="B907" t="s">
        <v>5119</v>
      </c>
      <c r="C907" t="str">
        <f>"9781498598224"</f>
        <v>9781498598224</v>
      </c>
      <c r="D907" t="str">
        <f>"9781498598231"</f>
        <v>9781498598231</v>
      </c>
      <c r="E907" t="s">
        <v>445</v>
      </c>
      <c r="F907" t="s">
        <v>445</v>
      </c>
      <c r="G907" s="1">
        <v>43830</v>
      </c>
      <c r="H907" s="1">
        <v>43821</v>
      </c>
      <c r="J907" t="s">
        <v>2378</v>
      </c>
      <c r="K907" t="s">
        <v>5120</v>
      </c>
      <c r="L907" t="s">
        <v>39</v>
      </c>
      <c r="M907" t="s">
        <v>5121</v>
      </c>
      <c r="N907">
        <v>333.72</v>
      </c>
      <c r="O907" t="s">
        <v>2421</v>
      </c>
      <c r="P907" t="s">
        <v>18</v>
      </c>
    </row>
    <row r="908" spans="1:16" x14ac:dyDescent="0.35">
      <c r="A908">
        <v>5972446</v>
      </c>
      <c r="B908" t="s">
        <v>5122</v>
      </c>
      <c r="C908" t="str">
        <f>"9781502650382"</f>
        <v>9781502650382</v>
      </c>
      <c r="D908" t="str">
        <f>"9781502650399"</f>
        <v>9781502650399</v>
      </c>
      <c r="E908" t="s">
        <v>5123</v>
      </c>
      <c r="F908" t="s">
        <v>5123</v>
      </c>
      <c r="G908" s="1">
        <v>43829</v>
      </c>
      <c r="H908" s="1">
        <v>43776</v>
      </c>
      <c r="I908">
        <v>1</v>
      </c>
      <c r="J908" t="s">
        <v>5124</v>
      </c>
      <c r="K908" t="s">
        <v>5125</v>
      </c>
      <c r="L908" t="s">
        <v>359</v>
      </c>
      <c r="P908" t="s">
        <v>18</v>
      </c>
    </row>
    <row r="909" spans="1:16" x14ac:dyDescent="0.35">
      <c r="A909">
        <v>5972588</v>
      </c>
      <c r="B909" t="s">
        <v>5126</v>
      </c>
      <c r="C909" t="str">
        <f>"9781534568112"</f>
        <v>9781534568112</v>
      </c>
      <c r="D909" t="str">
        <f>"9781534568129"</f>
        <v>9781534568129</v>
      </c>
      <c r="E909" t="s">
        <v>2682</v>
      </c>
      <c r="F909" t="s">
        <v>5127</v>
      </c>
      <c r="G909" s="1">
        <v>43829</v>
      </c>
      <c r="H909" s="1">
        <v>43776</v>
      </c>
      <c r="I909">
        <v>1</v>
      </c>
      <c r="J909" t="s">
        <v>5128</v>
      </c>
      <c r="K909" t="s">
        <v>5129</v>
      </c>
      <c r="L909" t="s">
        <v>359</v>
      </c>
      <c r="P909" t="s">
        <v>18</v>
      </c>
    </row>
    <row r="910" spans="1:16" x14ac:dyDescent="0.35">
      <c r="A910">
        <v>6017680</v>
      </c>
      <c r="B910" t="s">
        <v>5130</v>
      </c>
      <c r="C910" t="str">
        <f>"9781799820970"</f>
        <v>9781799820970</v>
      </c>
      <c r="D910" t="str">
        <f>"9781799820994"</f>
        <v>9781799820994</v>
      </c>
      <c r="E910" t="s">
        <v>138</v>
      </c>
      <c r="F910" t="s">
        <v>1769</v>
      </c>
      <c r="G910" s="1">
        <v>43826</v>
      </c>
      <c r="H910" s="1">
        <v>43846</v>
      </c>
      <c r="K910" t="s">
        <v>5131</v>
      </c>
      <c r="L910" t="s">
        <v>41</v>
      </c>
      <c r="M910" t="s">
        <v>5132</v>
      </c>
      <c r="N910">
        <v>338.04</v>
      </c>
      <c r="O910" t="s">
        <v>5133</v>
      </c>
      <c r="P910" t="s">
        <v>18</v>
      </c>
    </row>
    <row r="911" spans="1:16" x14ac:dyDescent="0.35">
      <c r="A911">
        <v>6002241</v>
      </c>
      <c r="B911" t="s">
        <v>5134</v>
      </c>
      <c r="C911" t="str">
        <f>"9781799803157"</f>
        <v>9781799803157</v>
      </c>
      <c r="D911" t="str">
        <f>"9781799803171"</f>
        <v>9781799803171</v>
      </c>
      <c r="E911" t="s">
        <v>138</v>
      </c>
      <c r="F911" t="s">
        <v>1789</v>
      </c>
      <c r="G911" s="1">
        <v>43819</v>
      </c>
      <c r="H911" s="1">
        <v>43831</v>
      </c>
      <c r="K911" t="s">
        <v>5135</v>
      </c>
      <c r="L911" t="s">
        <v>41</v>
      </c>
      <c r="M911" t="s">
        <v>5136</v>
      </c>
      <c r="N911" t="s">
        <v>128</v>
      </c>
      <c r="O911" t="s">
        <v>5137</v>
      </c>
      <c r="P911" t="s">
        <v>18</v>
      </c>
    </row>
    <row r="912" spans="1:16" x14ac:dyDescent="0.35">
      <c r="A912">
        <v>5996314</v>
      </c>
      <c r="B912" t="s">
        <v>5138</v>
      </c>
      <c r="C912" t="str">
        <f>"9781799821731"</f>
        <v>9781799821731</v>
      </c>
      <c r="D912" t="str">
        <f>"9781799821762"</f>
        <v>9781799821762</v>
      </c>
      <c r="E912" t="s">
        <v>138</v>
      </c>
      <c r="F912" t="s">
        <v>1769</v>
      </c>
      <c r="G912" s="1">
        <v>43814</v>
      </c>
      <c r="H912" s="1">
        <v>43818</v>
      </c>
      <c r="K912" t="s">
        <v>5139</v>
      </c>
      <c r="L912" t="s">
        <v>28</v>
      </c>
      <c r="M912" t="s">
        <v>5140</v>
      </c>
      <c r="N912" t="s">
        <v>5141</v>
      </c>
      <c r="O912" t="s">
        <v>3283</v>
      </c>
      <c r="P912" t="s">
        <v>18</v>
      </c>
    </row>
    <row r="913" spans="1:16" x14ac:dyDescent="0.35">
      <c r="A913">
        <v>6163889</v>
      </c>
      <c r="B913" t="s">
        <v>5142</v>
      </c>
      <c r="C913" t="str">
        <f>""</f>
        <v/>
      </c>
      <c r="D913" t="str">
        <f>"9781509924615"</f>
        <v>9781509924615</v>
      </c>
      <c r="E913" t="s">
        <v>354</v>
      </c>
      <c r="F913" t="s">
        <v>294</v>
      </c>
      <c r="G913" s="1">
        <v>43811</v>
      </c>
      <c r="H913" s="1">
        <v>43935</v>
      </c>
      <c r="K913" t="s">
        <v>5143</v>
      </c>
      <c r="L913" t="s">
        <v>23</v>
      </c>
      <c r="M913" t="s">
        <v>5144</v>
      </c>
      <c r="N913">
        <v>344.04599999999903</v>
      </c>
      <c r="O913" t="s">
        <v>5145</v>
      </c>
      <c r="P913" t="s">
        <v>18</v>
      </c>
    </row>
    <row r="914" spans="1:16" x14ac:dyDescent="0.35">
      <c r="A914">
        <v>5989091</v>
      </c>
      <c r="B914" t="s">
        <v>5146</v>
      </c>
      <c r="C914" t="str">
        <f>"9780128128855"</f>
        <v>9780128128855</v>
      </c>
      <c r="D914" t="str">
        <f>"9780128129364"</f>
        <v>9780128129364</v>
      </c>
      <c r="E914" t="s">
        <v>190</v>
      </c>
      <c r="F914" t="s">
        <v>191</v>
      </c>
      <c r="G914" s="1">
        <v>43810</v>
      </c>
      <c r="H914" s="1">
        <v>43804</v>
      </c>
      <c r="K914" t="s">
        <v>5147</v>
      </c>
      <c r="L914" t="s">
        <v>382</v>
      </c>
      <c r="N914">
        <v>614.44000000000005</v>
      </c>
      <c r="P914" t="s">
        <v>18</v>
      </c>
    </row>
    <row r="915" spans="1:16" x14ac:dyDescent="0.35">
      <c r="A915">
        <v>6005253</v>
      </c>
      <c r="B915" t="s">
        <v>5148</v>
      </c>
      <c r="C915" t="str">
        <f>"9781789903041"</f>
        <v>9781789903041</v>
      </c>
      <c r="D915" t="str">
        <f>"9781789903058"</f>
        <v>9781789903058</v>
      </c>
      <c r="E915" t="s">
        <v>2080</v>
      </c>
      <c r="F915" t="s">
        <v>2080</v>
      </c>
      <c r="G915" s="1">
        <v>43805</v>
      </c>
      <c r="H915" s="1">
        <v>43834</v>
      </c>
      <c r="J915" t="s">
        <v>5149</v>
      </c>
      <c r="K915" t="s">
        <v>5150</v>
      </c>
      <c r="L915" t="s">
        <v>28</v>
      </c>
      <c r="M915" t="s">
        <v>5151</v>
      </c>
      <c r="N915">
        <v>658.40800000000002</v>
      </c>
      <c r="O915" t="s">
        <v>5152</v>
      </c>
      <c r="P915" t="s">
        <v>18</v>
      </c>
    </row>
    <row r="916" spans="1:16" x14ac:dyDescent="0.35">
      <c r="A916">
        <v>5987582</v>
      </c>
      <c r="B916" t="s">
        <v>5153</v>
      </c>
      <c r="C916" t="str">
        <f>"9780128176078"</f>
        <v>9780128176078</v>
      </c>
      <c r="D916" t="str">
        <f>"9780128176085"</f>
        <v>9780128176085</v>
      </c>
      <c r="E916" t="s">
        <v>190</v>
      </c>
      <c r="F916" t="s">
        <v>191</v>
      </c>
      <c r="G916" s="1">
        <v>43803</v>
      </c>
      <c r="H916" s="1">
        <v>43801</v>
      </c>
      <c r="K916" t="s">
        <v>5154</v>
      </c>
      <c r="L916" t="s">
        <v>5155</v>
      </c>
      <c r="M916" t="s">
        <v>5156</v>
      </c>
      <c r="N916">
        <v>363.7063</v>
      </c>
      <c r="P916" t="s">
        <v>18</v>
      </c>
    </row>
    <row r="917" spans="1:16" x14ac:dyDescent="0.35">
      <c r="A917">
        <v>5988104</v>
      </c>
      <c r="B917" t="s">
        <v>5157</v>
      </c>
      <c r="C917" t="str">
        <f>"9780081028674"</f>
        <v>9780081028674</v>
      </c>
      <c r="D917" t="str">
        <f>"9780081028681"</f>
        <v>9780081028681</v>
      </c>
      <c r="E917" t="s">
        <v>190</v>
      </c>
      <c r="F917" t="s">
        <v>280</v>
      </c>
      <c r="G917" s="1">
        <v>43803</v>
      </c>
      <c r="H917" s="1">
        <v>43802</v>
      </c>
      <c r="J917" t="s">
        <v>2510</v>
      </c>
      <c r="K917" t="s">
        <v>5158</v>
      </c>
      <c r="L917" t="s">
        <v>246</v>
      </c>
      <c r="N917" t="s">
        <v>5159</v>
      </c>
      <c r="P917" t="s">
        <v>18</v>
      </c>
    </row>
    <row r="918" spans="1:16" x14ac:dyDescent="0.35">
      <c r="A918">
        <v>5990081</v>
      </c>
      <c r="B918" t="s">
        <v>5160</v>
      </c>
      <c r="C918" t="str">
        <f>"9780128190531"</f>
        <v>9780128190531</v>
      </c>
      <c r="D918" t="str">
        <f>"9780128190548"</f>
        <v>9780128190548</v>
      </c>
      <c r="E918" t="s">
        <v>190</v>
      </c>
      <c r="F918" t="s">
        <v>191</v>
      </c>
      <c r="G918" s="1">
        <v>43803</v>
      </c>
      <c r="H918" s="1">
        <v>43806</v>
      </c>
      <c r="K918" t="s">
        <v>5161</v>
      </c>
      <c r="L918" t="s">
        <v>403</v>
      </c>
      <c r="N918">
        <v>599.5</v>
      </c>
      <c r="P918" t="s">
        <v>18</v>
      </c>
    </row>
    <row r="919" spans="1:16" x14ac:dyDescent="0.35">
      <c r="A919">
        <v>5990150</v>
      </c>
      <c r="B919" t="s">
        <v>5162</v>
      </c>
      <c r="C919" t="str">
        <f>"9780128164419"</f>
        <v>9780128164419</v>
      </c>
      <c r="D919" t="str">
        <f>"9780128165546"</f>
        <v>9780128165546</v>
      </c>
      <c r="E919" t="s">
        <v>190</v>
      </c>
      <c r="F919" t="s">
        <v>191</v>
      </c>
      <c r="G919" s="1">
        <v>43803</v>
      </c>
      <c r="H919" s="1">
        <v>43922</v>
      </c>
      <c r="K919" t="s">
        <v>5163</v>
      </c>
      <c r="L919" t="s">
        <v>92</v>
      </c>
      <c r="M919" t="s">
        <v>5164</v>
      </c>
      <c r="N919">
        <v>333.7</v>
      </c>
      <c r="O919" t="s">
        <v>4735</v>
      </c>
      <c r="P919" t="s">
        <v>18</v>
      </c>
    </row>
    <row r="920" spans="1:16" x14ac:dyDescent="0.35">
      <c r="A920">
        <v>5990321</v>
      </c>
      <c r="B920" t="s">
        <v>5165</v>
      </c>
      <c r="C920" t="str">
        <f>"9780128163351"</f>
        <v>9780128163351</v>
      </c>
      <c r="D920" t="str">
        <f>"9780128166031"</f>
        <v>9780128166031</v>
      </c>
      <c r="E920" t="s">
        <v>309</v>
      </c>
      <c r="F920" t="s">
        <v>4774</v>
      </c>
      <c r="G920" s="1">
        <v>43803</v>
      </c>
      <c r="H920" s="1">
        <v>43808</v>
      </c>
      <c r="J920" t="s">
        <v>4775</v>
      </c>
      <c r="K920" t="s">
        <v>5166</v>
      </c>
      <c r="L920" t="s">
        <v>76</v>
      </c>
      <c r="N920">
        <v>668.49702860000002</v>
      </c>
      <c r="P920" t="s">
        <v>18</v>
      </c>
    </row>
    <row r="921" spans="1:16" x14ac:dyDescent="0.35">
      <c r="A921">
        <v>6005275</v>
      </c>
      <c r="B921" t="s">
        <v>5167</v>
      </c>
      <c r="C921" t="str">
        <f>"9781788115803"</f>
        <v>9781788115803</v>
      </c>
      <c r="D921" t="str">
        <f>"9781788115810"</f>
        <v>9781788115810</v>
      </c>
      <c r="E921" t="s">
        <v>2080</v>
      </c>
      <c r="F921" t="s">
        <v>2080</v>
      </c>
      <c r="G921" s="1">
        <v>43803</v>
      </c>
      <c r="H921" s="1">
        <v>43834</v>
      </c>
      <c r="J921" t="s">
        <v>3803</v>
      </c>
      <c r="K921" t="s">
        <v>5168</v>
      </c>
      <c r="L921" t="s">
        <v>23</v>
      </c>
      <c r="M921" t="s">
        <v>5169</v>
      </c>
      <c r="N921">
        <v>344.04599999999999</v>
      </c>
      <c r="O921" t="s">
        <v>3733</v>
      </c>
      <c r="P921" t="s">
        <v>18</v>
      </c>
    </row>
    <row r="922" spans="1:16" x14ac:dyDescent="0.35">
      <c r="A922">
        <v>6005293</v>
      </c>
      <c r="B922" t="s">
        <v>5170</v>
      </c>
      <c r="C922" t="str">
        <f>"9781788115414"</f>
        <v>9781788115414</v>
      </c>
      <c r="D922" t="str">
        <f>"9781788115421"</f>
        <v>9781788115421</v>
      </c>
      <c r="E922" t="s">
        <v>2080</v>
      </c>
      <c r="F922" t="s">
        <v>2080</v>
      </c>
      <c r="G922" s="1">
        <v>43801</v>
      </c>
      <c r="H922" s="1">
        <v>43834</v>
      </c>
      <c r="K922" t="s">
        <v>5171</v>
      </c>
      <c r="L922" t="s">
        <v>105</v>
      </c>
      <c r="M922" t="s">
        <v>5172</v>
      </c>
      <c r="N922">
        <v>363.7</v>
      </c>
      <c r="O922" t="s">
        <v>5173</v>
      </c>
      <c r="P922" t="s">
        <v>18</v>
      </c>
    </row>
    <row r="923" spans="1:16" x14ac:dyDescent="0.35">
      <c r="A923">
        <v>5977149</v>
      </c>
      <c r="B923" t="s">
        <v>5174</v>
      </c>
      <c r="C923" t="str">
        <f>"9781799812265"</f>
        <v>9781799812265</v>
      </c>
      <c r="D923" t="str">
        <f>"9781799812289"</f>
        <v>9781799812289</v>
      </c>
      <c r="E923" t="s">
        <v>138</v>
      </c>
      <c r="F923" t="s">
        <v>1764</v>
      </c>
      <c r="G923" s="1">
        <v>43798</v>
      </c>
      <c r="H923" s="1">
        <v>43783</v>
      </c>
      <c r="K923" t="s">
        <v>5175</v>
      </c>
      <c r="L923" t="s">
        <v>5176</v>
      </c>
      <c r="M923" t="s">
        <v>5177</v>
      </c>
      <c r="N923">
        <v>333.95159999999998</v>
      </c>
      <c r="O923" t="s">
        <v>5178</v>
      </c>
      <c r="P923" t="s">
        <v>18</v>
      </c>
    </row>
    <row r="924" spans="1:16" x14ac:dyDescent="0.35">
      <c r="A924">
        <v>5980374</v>
      </c>
      <c r="B924" t="s">
        <v>5179</v>
      </c>
      <c r="C924" t="str">
        <f>"9781498596817"</f>
        <v>9781498596817</v>
      </c>
      <c r="D924" t="str">
        <f>"9781498596824"</f>
        <v>9781498596824</v>
      </c>
      <c r="E924" t="s">
        <v>446</v>
      </c>
      <c r="F924" t="s">
        <v>446</v>
      </c>
      <c r="G924" s="1">
        <v>43798</v>
      </c>
      <c r="H924" s="1">
        <v>43790</v>
      </c>
      <c r="J924" t="s">
        <v>553</v>
      </c>
      <c r="K924" t="s">
        <v>5180</v>
      </c>
      <c r="L924" t="s">
        <v>163</v>
      </c>
      <c r="M924" t="s">
        <v>5181</v>
      </c>
      <c r="N924">
        <v>363.70095900000001</v>
      </c>
      <c r="O924" t="s">
        <v>5182</v>
      </c>
      <c r="P924" t="s">
        <v>18</v>
      </c>
    </row>
    <row r="925" spans="1:16" x14ac:dyDescent="0.35">
      <c r="A925">
        <v>5986752</v>
      </c>
      <c r="B925" t="s">
        <v>5183</v>
      </c>
      <c r="C925" t="str">
        <f>"9780128179826"</f>
        <v>9780128179826</v>
      </c>
      <c r="D925" t="str">
        <f>"9780128179833"</f>
        <v>9780128179833</v>
      </c>
      <c r="E925" t="s">
        <v>190</v>
      </c>
      <c r="F925" t="s">
        <v>282</v>
      </c>
      <c r="G925" s="1">
        <v>43796</v>
      </c>
      <c r="H925" s="1">
        <v>43798</v>
      </c>
      <c r="K925" t="s">
        <v>5184</v>
      </c>
      <c r="L925" t="s">
        <v>5185</v>
      </c>
      <c r="P925" t="s">
        <v>18</v>
      </c>
    </row>
    <row r="926" spans="1:16" x14ac:dyDescent="0.35">
      <c r="A926">
        <v>5986471</v>
      </c>
      <c r="B926" t="s">
        <v>5186</v>
      </c>
      <c r="C926" t="str">
        <f>"9780128185674"</f>
        <v>9780128185674</v>
      </c>
      <c r="D926" t="str">
        <f>"9780128185681"</f>
        <v>9780128185681</v>
      </c>
      <c r="E926" t="s">
        <v>190</v>
      </c>
      <c r="F926" t="s">
        <v>191</v>
      </c>
      <c r="G926" s="1">
        <v>43794</v>
      </c>
      <c r="H926" s="1">
        <v>43798</v>
      </c>
      <c r="K926" t="s">
        <v>5187</v>
      </c>
      <c r="L926" t="s">
        <v>66</v>
      </c>
      <c r="M926" t="s">
        <v>5188</v>
      </c>
      <c r="N926">
        <v>333.79</v>
      </c>
      <c r="P926" t="s">
        <v>18</v>
      </c>
    </row>
    <row r="927" spans="1:16" x14ac:dyDescent="0.35">
      <c r="A927">
        <v>5986758</v>
      </c>
      <c r="B927" t="s">
        <v>5189</v>
      </c>
      <c r="C927" t="str">
        <f>"9780128155073"</f>
        <v>9780128155073</v>
      </c>
      <c r="D927" t="str">
        <f>"9780128155066"</f>
        <v>9780128155066</v>
      </c>
      <c r="E927" t="s">
        <v>190</v>
      </c>
      <c r="F927" t="s">
        <v>191</v>
      </c>
      <c r="G927" s="1">
        <v>43794</v>
      </c>
      <c r="H927" s="1">
        <v>43798</v>
      </c>
      <c r="J927" t="s">
        <v>3902</v>
      </c>
      <c r="K927" t="s">
        <v>5190</v>
      </c>
      <c r="L927" t="s">
        <v>403</v>
      </c>
      <c r="N927">
        <v>599.30999999999995</v>
      </c>
      <c r="P927" t="s">
        <v>18</v>
      </c>
    </row>
    <row r="928" spans="1:16" x14ac:dyDescent="0.35">
      <c r="A928">
        <v>5984876</v>
      </c>
      <c r="B928" t="s">
        <v>5191</v>
      </c>
      <c r="C928" t="str">
        <f>"9780128170304"</f>
        <v>9780128170304</v>
      </c>
      <c r="D928" t="str">
        <f>"9780128170311"</f>
        <v>9780128170311</v>
      </c>
      <c r="E928" t="s">
        <v>190</v>
      </c>
      <c r="F928" t="s">
        <v>282</v>
      </c>
      <c r="G928" s="1">
        <v>43791</v>
      </c>
      <c r="H928" s="1">
        <v>43796</v>
      </c>
      <c r="K928" t="s">
        <v>5192</v>
      </c>
      <c r="L928" t="s">
        <v>104</v>
      </c>
      <c r="M928" t="s">
        <v>5193</v>
      </c>
      <c r="P928" t="s">
        <v>18</v>
      </c>
    </row>
    <row r="929" spans="1:16" x14ac:dyDescent="0.35">
      <c r="A929">
        <v>5986168</v>
      </c>
      <c r="B929" t="s">
        <v>5194</v>
      </c>
      <c r="C929" t="str">
        <f>"9780128158265"</f>
        <v>9780128158265</v>
      </c>
      <c r="D929" t="str">
        <f>"9780128165287"</f>
        <v>9780128165287</v>
      </c>
      <c r="E929" t="s">
        <v>190</v>
      </c>
      <c r="F929" t="s">
        <v>191</v>
      </c>
      <c r="G929" s="1">
        <v>43791</v>
      </c>
      <c r="H929" s="1">
        <v>43797</v>
      </c>
      <c r="I929">
        <v>2</v>
      </c>
      <c r="K929" t="s">
        <v>5195</v>
      </c>
      <c r="L929" t="s">
        <v>141</v>
      </c>
      <c r="N929" t="s">
        <v>5196</v>
      </c>
      <c r="P929" t="s">
        <v>18</v>
      </c>
    </row>
    <row r="930" spans="1:16" x14ac:dyDescent="0.35">
      <c r="A930">
        <v>5982084</v>
      </c>
      <c r="B930" t="s">
        <v>5197</v>
      </c>
      <c r="C930" t="str">
        <f>"9780128183557"</f>
        <v>9780128183557</v>
      </c>
      <c r="D930" t="str">
        <f>"9780128183564"</f>
        <v>9780128183564</v>
      </c>
      <c r="E930" t="s">
        <v>1699</v>
      </c>
      <c r="F930" t="s">
        <v>1699</v>
      </c>
      <c r="G930" s="1">
        <v>43789</v>
      </c>
      <c r="H930" s="1">
        <v>43790</v>
      </c>
      <c r="K930" t="s">
        <v>5198</v>
      </c>
      <c r="L930" t="s">
        <v>91</v>
      </c>
      <c r="M930" t="s">
        <v>5199</v>
      </c>
      <c r="N930">
        <v>620.00680999999997</v>
      </c>
      <c r="O930" t="s">
        <v>5200</v>
      </c>
      <c r="P930" t="s">
        <v>18</v>
      </c>
    </row>
    <row r="931" spans="1:16" x14ac:dyDescent="0.35">
      <c r="A931">
        <v>5982937</v>
      </c>
      <c r="B931" t="s">
        <v>5201</v>
      </c>
      <c r="C931" t="str">
        <f>"9780128213209"</f>
        <v>9780128213209</v>
      </c>
      <c r="D931" t="str">
        <f>"9780128213216"</f>
        <v>9780128213216</v>
      </c>
      <c r="E931" t="s">
        <v>1699</v>
      </c>
      <c r="F931" t="s">
        <v>1699</v>
      </c>
      <c r="G931" s="1">
        <v>43789</v>
      </c>
      <c r="H931" s="1">
        <v>43791</v>
      </c>
      <c r="J931" t="s">
        <v>291</v>
      </c>
      <c r="K931" t="s">
        <v>5202</v>
      </c>
      <c r="L931" t="s">
        <v>4484</v>
      </c>
      <c r="M931" t="s">
        <v>5203</v>
      </c>
      <c r="N931">
        <v>571.74199999999996</v>
      </c>
      <c r="O931" t="s">
        <v>5204</v>
      </c>
      <c r="P931" t="s">
        <v>18</v>
      </c>
    </row>
    <row r="932" spans="1:16" x14ac:dyDescent="0.35">
      <c r="A932">
        <v>5984868</v>
      </c>
      <c r="B932" t="s">
        <v>5205</v>
      </c>
      <c r="C932" t="str">
        <f>"9780128171097"</f>
        <v>9780128171097</v>
      </c>
      <c r="D932" t="str">
        <f>"9780128173749"</f>
        <v>9780128173749</v>
      </c>
      <c r="E932" t="s">
        <v>190</v>
      </c>
      <c r="F932" t="s">
        <v>191</v>
      </c>
      <c r="G932" s="1">
        <v>43789</v>
      </c>
      <c r="H932" s="1">
        <v>43796</v>
      </c>
      <c r="K932" t="s">
        <v>5206</v>
      </c>
      <c r="L932" t="s">
        <v>5207</v>
      </c>
      <c r="P932" t="s">
        <v>18</v>
      </c>
    </row>
    <row r="933" spans="1:16" x14ac:dyDescent="0.35">
      <c r="A933">
        <v>5984965</v>
      </c>
      <c r="B933" t="s">
        <v>5208</v>
      </c>
      <c r="C933" t="str">
        <f>"9781784717452"</f>
        <v>9781784717452</v>
      </c>
      <c r="D933" t="str">
        <f>"9781784717469"</f>
        <v>9781784717469</v>
      </c>
      <c r="E933" t="s">
        <v>2080</v>
      </c>
      <c r="F933" t="s">
        <v>2080</v>
      </c>
      <c r="G933" s="1">
        <v>43787</v>
      </c>
      <c r="H933" s="1">
        <v>43796</v>
      </c>
      <c r="J933" t="s">
        <v>4051</v>
      </c>
      <c r="K933" t="s">
        <v>5209</v>
      </c>
      <c r="L933" t="s">
        <v>23</v>
      </c>
      <c r="N933">
        <v>344.12404600000002</v>
      </c>
      <c r="P933" t="s">
        <v>18</v>
      </c>
    </row>
    <row r="934" spans="1:16" x14ac:dyDescent="0.35">
      <c r="A934">
        <v>5986754</v>
      </c>
      <c r="B934" t="s">
        <v>5210</v>
      </c>
      <c r="C934" t="str">
        <f>"9780444643377"</f>
        <v>9780444643377</v>
      </c>
      <c r="D934" t="str">
        <f>"9780444643384"</f>
        <v>9780444643384</v>
      </c>
      <c r="E934" t="s">
        <v>1699</v>
      </c>
      <c r="F934" t="s">
        <v>1699</v>
      </c>
      <c r="G934" s="1">
        <v>43787</v>
      </c>
      <c r="H934" s="1">
        <v>43798</v>
      </c>
      <c r="J934" t="s">
        <v>291</v>
      </c>
      <c r="K934" t="s">
        <v>5211</v>
      </c>
      <c r="L934" t="s">
        <v>5212</v>
      </c>
      <c r="M934" t="s">
        <v>5213</v>
      </c>
      <c r="N934">
        <v>660.29949999999997</v>
      </c>
      <c r="P934" t="s">
        <v>18</v>
      </c>
    </row>
    <row r="935" spans="1:16" x14ac:dyDescent="0.35">
      <c r="A935">
        <v>5915594</v>
      </c>
      <c r="B935" t="s">
        <v>5214</v>
      </c>
      <c r="C935" t="str">
        <f>"9781799814191"</f>
        <v>9781799814191</v>
      </c>
      <c r="D935" t="str">
        <f>"9781799814221"</f>
        <v>9781799814221</v>
      </c>
      <c r="E935" t="s">
        <v>138</v>
      </c>
      <c r="F935" t="s">
        <v>1769</v>
      </c>
      <c r="G935" s="1">
        <v>43784</v>
      </c>
      <c r="H935" s="1">
        <v>43741</v>
      </c>
      <c r="K935" t="s">
        <v>5215</v>
      </c>
      <c r="L935" t="s">
        <v>28</v>
      </c>
      <c r="M935" t="s">
        <v>5216</v>
      </c>
      <c r="N935" t="s">
        <v>5217</v>
      </c>
      <c r="O935" t="s">
        <v>5218</v>
      </c>
      <c r="P935" t="s">
        <v>18</v>
      </c>
    </row>
    <row r="936" spans="1:16" x14ac:dyDescent="0.35">
      <c r="A936">
        <v>5972435</v>
      </c>
      <c r="B936" t="s">
        <v>5219</v>
      </c>
      <c r="C936" t="str">
        <f>"9781799811961"</f>
        <v>9781799811961</v>
      </c>
      <c r="D936" t="str">
        <f>"9781799811985"</f>
        <v>9781799811985</v>
      </c>
      <c r="E936" t="s">
        <v>138</v>
      </c>
      <c r="F936" t="s">
        <v>1769</v>
      </c>
      <c r="G936" s="1">
        <v>43784</v>
      </c>
      <c r="H936" s="1">
        <v>43776</v>
      </c>
      <c r="K936" t="s">
        <v>2522</v>
      </c>
      <c r="L936" t="s">
        <v>41</v>
      </c>
      <c r="M936" t="s">
        <v>5220</v>
      </c>
      <c r="N936" t="s">
        <v>128</v>
      </c>
      <c r="P936" t="s">
        <v>18</v>
      </c>
    </row>
    <row r="937" spans="1:16" x14ac:dyDescent="0.35">
      <c r="A937">
        <v>5971401</v>
      </c>
      <c r="B937" t="s">
        <v>5221</v>
      </c>
      <c r="C937" t="str">
        <f>"9780761871248"</f>
        <v>9780761871248</v>
      </c>
      <c r="D937" t="str">
        <f>"9780761871255"</f>
        <v>9780761871255</v>
      </c>
      <c r="E937" t="s">
        <v>437</v>
      </c>
      <c r="F937" t="s">
        <v>437</v>
      </c>
      <c r="G937" s="1">
        <v>43782</v>
      </c>
      <c r="H937" s="1">
        <v>43775</v>
      </c>
      <c r="K937" t="s">
        <v>3072</v>
      </c>
      <c r="L937" t="s">
        <v>5222</v>
      </c>
      <c r="P937" t="s">
        <v>18</v>
      </c>
    </row>
    <row r="938" spans="1:16" x14ac:dyDescent="0.35">
      <c r="A938">
        <v>5978119</v>
      </c>
      <c r="B938" t="s">
        <v>5223</v>
      </c>
      <c r="C938" t="str">
        <f>"9780128191347"</f>
        <v>9780128191347</v>
      </c>
      <c r="D938" t="str">
        <f>"9780128191354"</f>
        <v>9780128191354</v>
      </c>
      <c r="E938" t="s">
        <v>1699</v>
      </c>
      <c r="F938" t="s">
        <v>1699</v>
      </c>
      <c r="G938" s="1">
        <v>43782</v>
      </c>
      <c r="H938" s="1">
        <v>43785</v>
      </c>
      <c r="K938" t="s">
        <v>5224</v>
      </c>
      <c r="L938" t="s">
        <v>23</v>
      </c>
      <c r="M938" t="s">
        <v>5225</v>
      </c>
      <c r="N938">
        <v>344.04634299999998</v>
      </c>
      <c r="O938" t="s">
        <v>5226</v>
      </c>
      <c r="P938" t="s">
        <v>18</v>
      </c>
    </row>
    <row r="939" spans="1:16" x14ac:dyDescent="0.35">
      <c r="A939">
        <v>5971237</v>
      </c>
      <c r="B939" t="s">
        <v>5227</v>
      </c>
      <c r="C939" t="str">
        <f>"9781440866999"</f>
        <v>9781440866999</v>
      </c>
      <c r="D939" t="str">
        <f>"9781440867002"</f>
        <v>9781440867002</v>
      </c>
      <c r="E939" t="s">
        <v>440</v>
      </c>
      <c r="F939" t="s">
        <v>314</v>
      </c>
      <c r="G939" s="1">
        <v>43780</v>
      </c>
      <c r="H939" s="1">
        <v>43774</v>
      </c>
      <c r="K939" t="s">
        <v>5228</v>
      </c>
      <c r="L939" t="s">
        <v>40</v>
      </c>
      <c r="M939" t="s">
        <v>5229</v>
      </c>
      <c r="N939">
        <v>1.2</v>
      </c>
      <c r="O939" t="s">
        <v>5230</v>
      </c>
      <c r="P939" t="s">
        <v>18</v>
      </c>
    </row>
    <row r="940" spans="1:16" x14ac:dyDescent="0.35">
      <c r="A940">
        <v>5978915</v>
      </c>
      <c r="B940" t="s">
        <v>5231</v>
      </c>
      <c r="C940" t="str">
        <f>"9780128164365"</f>
        <v>9780128164365</v>
      </c>
      <c r="D940" t="str">
        <f>"9780128175095"</f>
        <v>9780128175095</v>
      </c>
      <c r="E940" t="s">
        <v>190</v>
      </c>
      <c r="F940" t="s">
        <v>191</v>
      </c>
      <c r="G940" s="1">
        <v>43780</v>
      </c>
      <c r="H940" s="1">
        <v>43785</v>
      </c>
      <c r="K940" t="s">
        <v>5232</v>
      </c>
      <c r="L940" t="s">
        <v>26</v>
      </c>
      <c r="M940" t="s">
        <v>5233</v>
      </c>
      <c r="N940">
        <v>338.19</v>
      </c>
      <c r="O940" t="s">
        <v>5027</v>
      </c>
      <c r="P940" t="s">
        <v>18</v>
      </c>
    </row>
    <row r="941" spans="1:16" x14ac:dyDescent="0.35">
      <c r="A941">
        <v>5975764</v>
      </c>
      <c r="B941" t="s">
        <v>5234</v>
      </c>
      <c r="C941" t="str">
        <f>"9780128184028"</f>
        <v>9780128184028</v>
      </c>
      <c r="D941" t="str">
        <f>"9780128184035"</f>
        <v>9780128184035</v>
      </c>
      <c r="E941" t="s">
        <v>1699</v>
      </c>
      <c r="F941" t="s">
        <v>1699</v>
      </c>
      <c r="G941" s="1">
        <v>43777</v>
      </c>
      <c r="H941" s="1">
        <v>43782</v>
      </c>
      <c r="K941" t="s">
        <v>5235</v>
      </c>
      <c r="L941" t="s">
        <v>118</v>
      </c>
      <c r="M941" t="s">
        <v>5236</v>
      </c>
      <c r="N941">
        <v>660.6</v>
      </c>
      <c r="O941" t="s">
        <v>120</v>
      </c>
      <c r="P941" t="s">
        <v>18</v>
      </c>
    </row>
    <row r="942" spans="1:16" x14ac:dyDescent="0.35">
      <c r="A942">
        <v>5976203</v>
      </c>
      <c r="B942" t="s">
        <v>5237</v>
      </c>
      <c r="C942" t="str">
        <f>"9780128189962"</f>
        <v>9780128189962</v>
      </c>
      <c r="D942" t="str">
        <f>"9780128189979"</f>
        <v>9780128189979</v>
      </c>
      <c r="E942" t="s">
        <v>190</v>
      </c>
      <c r="F942" t="s">
        <v>191</v>
      </c>
      <c r="G942" s="1">
        <v>43777</v>
      </c>
      <c r="H942" s="1">
        <v>43782</v>
      </c>
      <c r="K942" t="s">
        <v>5238</v>
      </c>
      <c r="L942" t="s">
        <v>76</v>
      </c>
      <c r="M942" t="s">
        <v>5239</v>
      </c>
      <c r="N942">
        <v>662.88</v>
      </c>
      <c r="O942" t="s">
        <v>421</v>
      </c>
      <c r="P942" t="s">
        <v>18</v>
      </c>
    </row>
    <row r="943" spans="1:16" x14ac:dyDescent="0.35">
      <c r="A943">
        <v>5976204</v>
      </c>
      <c r="B943" t="s">
        <v>5240</v>
      </c>
      <c r="C943" t="str">
        <f>"9780128199114"</f>
        <v>9780128199114</v>
      </c>
      <c r="D943" t="str">
        <f>"9780128208199"</f>
        <v>9780128208199</v>
      </c>
      <c r="E943" t="s">
        <v>1699</v>
      </c>
      <c r="F943" t="s">
        <v>1699</v>
      </c>
      <c r="G943" s="1">
        <v>43777</v>
      </c>
      <c r="H943" s="1">
        <v>43782</v>
      </c>
      <c r="K943" t="s">
        <v>5241</v>
      </c>
      <c r="L943" t="s">
        <v>258</v>
      </c>
      <c r="M943" t="s">
        <v>5242</v>
      </c>
      <c r="N943">
        <v>333.91640950999999</v>
      </c>
      <c r="O943" t="s">
        <v>5243</v>
      </c>
      <c r="P943" t="s">
        <v>18</v>
      </c>
    </row>
    <row r="944" spans="1:16" x14ac:dyDescent="0.35">
      <c r="A944">
        <v>5984936</v>
      </c>
      <c r="B944" t="s">
        <v>5244</v>
      </c>
      <c r="C944" t="str">
        <f>"9781788118163"</f>
        <v>9781788118163</v>
      </c>
      <c r="D944" t="str">
        <f>"9781788118170"</f>
        <v>9781788118170</v>
      </c>
      <c r="E944" t="s">
        <v>2080</v>
      </c>
      <c r="F944" t="s">
        <v>2080</v>
      </c>
      <c r="G944" s="1">
        <v>43777</v>
      </c>
      <c r="H944" s="1">
        <v>43796</v>
      </c>
      <c r="J944" t="s">
        <v>3157</v>
      </c>
      <c r="K944" t="s">
        <v>5245</v>
      </c>
      <c r="L944" t="s">
        <v>105</v>
      </c>
      <c r="N944">
        <v>363.73874561000002</v>
      </c>
      <c r="P944" t="s">
        <v>18</v>
      </c>
    </row>
    <row r="945" spans="1:16" x14ac:dyDescent="0.35">
      <c r="A945">
        <v>5984938</v>
      </c>
      <c r="B945" t="s">
        <v>5246</v>
      </c>
      <c r="C945" t="str">
        <f>"9781788974233"</f>
        <v>9781788974233</v>
      </c>
      <c r="D945" t="str">
        <f>"9781788974240"</f>
        <v>9781788974240</v>
      </c>
      <c r="E945" t="s">
        <v>2080</v>
      </c>
      <c r="F945" t="s">
        <v>2080</v>
      </c>
      <c r="G945" s="1">
        <v>43776</v>
      </c>
      <c r="H945" s="1">
        <v>43796</v>
      </c>
      <c r="K945" t="s">
        <v>5247</v>
      </c>
      <c r="L945" t="s">
        <v>42</v>
      </c>
      <c r="N945">
        <v>330.12200000000001</v>
      </c>
      <c r="P945" t="s">
        <v>18</v>
      </c>
    </row>
    <row r="946" spans="1:16" x14ac:dyDescent="0.35">
      <c r="A946">
        <v>5984946</v>
      </c>
      <c r="B946" t="s">
        <v>5248</v>
      </c>
      <c r="C946" t="str">
        <f>"9781788977425"</f>
        <v>9781788977425</v>
      </c>
      <c r="D946" t="str">
        <f>"9781788977432"</f>
        <v>9781788977432</v>
      </c>
      <c r="E946" t="s">
        <v>2080</v>
      </c>
      <c r="F946" t="s">
        <v>2080</v>
      </c>
      <c r="G946" s="1">
        <v>43776</v>
      </c>
      <c r="H946" s="1">
        <v>43796</v>
      </c>
      <c r="J946" t="s">
        <v>5249</v>
      </c>
      <c r="K946" t="s">
        <v>5250</v>
      </c>
      <c r="L946" t="s">
        <v>23</v>
      </c>
      <c r="N946">
        <v>346.0440911</v>
      </c>
      <c r="P946" t="s">
        <v>18</v>
      </c>
    </row>
    <row r="947" spans="1:16" x14ac:dyDescent="0.35">
      <c r="A947">
        <v>5972517</v>
      </c>
      <c r="B947" t="s">
        <v>5251</v>
      </c>
      <c r="C947" t="str">
        <f>"9780128166918"</f>
        <v>9780128166918</v>
      </c>
      <c r="D947" t="str">
        <f>"9780128166925"</f>
        <v>9780128166925</v>
      </c>
      <c r="E947" t="s">
        <v>190</v>
      </c>
      <c r="F947" t="s">
        <v>191</v>
      </c>
      <c r="G947" s="1">
        <v>43775</v>
      </c>
      <c r="H947" s="1">
        <v>43776</v>
      </c>
      <c r="I947">
        <v>2</v>
      </c>
      <c r="K947" t="s">
        <v>5252</v>
      </c>
      <c r="L947" t="s">
        <v>168</v>
      </c>
      <c r="M947" t="s">
        <v>5253</v>
      </c>
      <c r="N947">
        <v>635.95399999999995</v>
      </c>
      <c r="O947" t="s">
        <v>5254</v>
      </c>
      <c r="P947" t="s">
        <v>18</v>
      </c>
    </row>
    <row r="948" spans="1:16" x14ac:dyDescent="0.35">
      <c r="A948">
        <v>5917109</v>
      </c>
      <c r="B948" t="s">
        <v>5255</v>
      </c>
      <c r="C948" t="str">
        <f>"9783035715330"</f>
        <v>9783035715330</v>
      </c>
      <c r="D948" t="str">
        <f>"9783035735338"</f>
        <v>9783035735338</v>
      </c>
      <c r="E948" t="s">
        <v>1649</v>
      </c>
      <c r="F948" t="s">
        <v>1649</v>
      </c>
      <c r="G948" s="1">
        <v>43773</v>
      </c>
      <c r="H948" s="1">
        <v>43744</v>
      </c>
      <c r="I948">
        <v>1</v>
      </c>
      <c r="J948" t="s">
        <v>2393</v>
      </c>
      <c r="K948" t="s">
        <v>5256</v>
      </c>
      <c r="L948" t="s">
        <v>264</v>
      </c>
      <c r="P948" t="s">
        <v>18</v>
      </c>
    </row>
    <row r="949" spans="1:16" x14ac:dyDescent="0.35">
      <c r="A949">
        <v>5968993</v>
      </c>
      <c r="B949" t="s">
        <v>5257</v>
      </c>
      <c r="C949" t="str">
        <f>"9781799809487"</f>
        <v>9781799809487</v>
      </c>
      <c r="D949" t="str">
        <f>"9781799809494"</f>
        <v>9781799809494</v>
      </c>
      <c r="E949" t="s">
        <v>138</v>
      </c>
      <c r="F949" t="s">
        <v>1764</v>
      </c>
      <c r="G949" s="1">
        <v>43770</v>
      </c>
      <c r="H949" s="1">
        <v>43770</v>
      </c>
      <c r="K949" t="s">
        <v>1999</v>
      </c>
      <c r="L949" t="s">
        <v>38</v>
      </c>
      <c r="M949" t="s">
        <v>5258</v>
      </c>
      <c r="N949">
        <v>307.1216</v>
      </c>
      <c r="O949" t="s">
        <v>347</v>
      </c>
      <c r="P949" t="s">
        <v>18</v>
      </c>
    </row>
    <row r="950" spans="1:16" x14ac:dyDescent="0.35">
      <c r="A950">
        <v>5969484</v>
      </c>
      <c r="B950" t="s">
        <v>5259</v>
      </c>
      <c r="C950" t="str">
        <f>"9780128146453"</f>
        <v>9780128146453</v>
      </c>
      <c r="D950" t="str">
        <f>"9780128146460"</f>
        <v>9780128146460</v>
      </c>
      <c r="E950" t="s">
        <v>190</v>
      </c>
      <c r="F950" t="s">
        <v>191</v>
      </c>
      <c r="G950" s="1">
        <v>43769</v>
      </c>
      <c r="H950" s="1">
        <v>43771</v>
      </c>
      <c r="K950" t="s">
        <v>5260</v>
      </c>
      <c r="L950" t="s">
        <v>5261</v>
      </c>
      <c r="M950" t="s">
        <v>5262</v>
      </c>
      <c r="N950">
        <v>333.79149999999998</v>
      </c>
      <c r="O950" t="s">
        <v>5263</v>
      </c>
      <c r="P950" t="s">
        <v>18</v>
      </c>
    </row>
    <row r="951" spans="1:16" x14ac:dyDescent="0.35">
      <c r="A951">
        <v>5969627</v>
      </c>
      <c r="B951" t="s">
        <v>5264</v>
      </c>
      <c r="C951" t="str">
        <f>"9781527536920"</f>
        <v>9781527536920</v>
      </c>
      <c r="D951" t="str">
        <f>"9781527542440"</f>
        <v>9781527542440</v>
      </c>
      <c r="E951" t="s">
        <v>1662</v>
      </c>
      <c r="F951" t="s">
        <v>1662</v>
      </c>
      <c r="G951" s="1">
        <v>43769</v>
      </c>
      <c r="H951" s="1">
        <v>43771</v>
      </c>
      <c r="K951" t="s">
        <v>5265</v>
      </c>
      <c r="L951" t="s">
        <v>93</v>
      </c>
      <c r="M951" t="s">
        <v>5266</v>
      </c>
      <c r="N951">
        <v>696</v>
      </c>
      <c r="O951" t="s">
        <v>5267</v>
      </c>
      <c r="P951" t="s">
        <v>18</v>
      </c>
    </row>
    <row r="952" spans="1:16" x14ac:dyDescent="0.35">
      <c r="A952">
        <v>5993930</v>
      </c>
      <c r="B952" t="s">
        <v>5268</v>
      </c>
      <c r="C952" t="str">
        <f>"9781839097980"</f>
        <v>9781839097980</v>
      </c>
      <c r="D952" t="str">
        <f>"9781839097997"</f>
        <v>9781839097997</v>
      </c>
      <c r="E952" t="s">
        <v>187</v>
      </c>
      <c r="F952" t="s">
        <v>187</v>
      </c>
      <c r="G952" s="1">
        <v>43768</v>
      </c>
      <c r="H952" s="1">
        <v>43812</v>
      </c>
      <c r="J952" t="s">
        <v>5269</v>
      </c>
      <c r="K952" t="s">
        <v>5270</v>
      </c>
      <c r="L952" t="s">
        <v>186</v>
      </c>
      <c r="N952">
        <v>620</v>
      </c>
      <c r="P952" t="s">
        <v>18</v>
      </c>
    </row>
    <row r="953" spans="1:16" x14ac:dyDescent="0.35">
      <c r="A953">
        <v>5969496</v>
      </c>
      <c r="B953" t="s">
        <v>5271</v>
      </c>
      <c r="C953" t="str">
        <f>"9780128173886"</f>
        <v>9780128173886</v>
      </c>
      <c r="D953" t="str">
        <f>"9780128173893"</f>
        <v>9780128173893</v>
      </c>
      <c r="E953" t="s">
        <v>1699</v>
      </c>
      <c r="F953" t="s">
        <v>1699</v>
      </c>
      <c r="G953" s="1">
        <v>43767</v>
      </c>
      <c r="H953" s="1">
        <v>43771</v>
      </c>
      <c r="K953" t="s">
        <v>5272</v>
      </c>
      <c r="L953" t="s">
        <v>76</v>
      </c>
      <c r="M953" t="s">
        <v>4299</v>
      </c>
      <c r="N953" t="s">
        <v>5273</v>
      </c>
      <c r="O953" t="s">
        <v>4300</v>
      </c>
      <c r="P953" t="s">
        <v>18</v>
      </c>
    </row>
    <row r="954" spans="1:16" x14ac:dyDescent="0.35">
      <c r="A954">
        <v>5968259</v>
      </c>
      <c r="B954" t="s">
        <v>5274</v>
      </c>
      <c r="C954" t="str">
        <f>"9780128164150"</f>
        <v>9780128164150</v>
      </c>
      <c r="D954" t="str">
        <f>"9780128164167"</f>
        <v>9780128164167</v>
      </c>
      <c r="E954" t="s">
        <v>190</v>
      </c>
      <c r="F954" t="s">
        <v>191</v>
      </c>
      <c r="G954" s="1">
        <v>43766</v>
      </c>
      <c r="H954" s="1">
        <v>43769</v>
      </c>
      <c r="J954" t="s">
        <v>291</v>
      </c>
      <c r="K954" t="s">
        <v>5275</v>
      </c>
      <c r="L954" t="s">
        <v>168</v>
      </c>
      <c r="M954" t="s">
        <v>5276</v>
      </c>
      <c r="N954">
        <v>631.4</v>
      </c>
      <c r="O954" t="s">
        <v>5277</v>
      </c>
      <c r="P954" t="s">
        <v>18</v>
      </c>
    </row>
    <row r="955" spans="1:16" x14ac:dyDescent="0.35">
      <c r="A955">
        <v>5968257</v>
      </c>
      <c r="B955" t="s">
        <v>5278</v>
      </c>
      <c r="C955" t="str">
        <f>"9780128170526"</f>
        <v>9780128170526</v>
      </c>
      <c r="D955" t="str">
        <f>"9780128170533"</f>
        <v>9780128170533</v>
      </c>
      <c r="E955" t="s">
        <v>190</v>
      </c>
      <c r="F955" t="s">
        <v>191</v>
      </c>
      <c r="G955" s="1">
        <v>43764</v>
      </c>
      <c r="H955" s="1">
        <v>43769</v>
      </c>
      <c r="K955" t="s">
        <v>5279</v>
      </c>
      <c r="L955" t="s">
        <v>168</v>
      </c>
      <c r="M955" t="s">
        <v>5280</v>
      </c>
      <c r="N955">
        <v>630.20860000000005</v>
      </c>
      <c r="O955" t="s">
        <v>4125</v>
      </c>
      <c r="P955" t="s">
        <v>18</v>
      </c>
    </row>
    <row r="956" spans="1:16" x14ac:dyDescent="0.35">
      <c r="A956">
        <v>5968934</v>
      </c>
      <c r="B956" t="s">
        <v>5281</v>
      </c>
      <c r="C956" t="str">
        <f>"9780081027622"</f>
        <v>9780081027622</v>
      </c>
      <c r="D956" t="str">
        <f>"9780081028735"</f>
        <v>9780081028735</v>
      </c>
      <c r="E956" t="s">
        <v>1699</v>
      </c>
      <c r="F956" t="s">
        <v>1699</v>
      </c>
      <c r="G956" s="1">
        <v>43764</v>
      </c>
      <c r="H956" s="1">
        <v>43770</v>
      </c>
      <c r="K956" t="s">
        <v>5282</v>
      </c>
      <c r="L956" t="s">
        <v>141</v>
      </c>
      <c r="M956" t="s">
        <v>5283</v>
      </c>
      <c r="N956">
        <v>621.31244000000004</v>
      </c>
      <c r="O956" t="s">
        <v>5284</v>
      </c>
      <c r="P956" t="s">
        <v>18</v>
      </c>
    </row>
    <row r="957" spans="1:16" x14ac:dyDescent="0.35">
      <c r="A957">
        <v>5891267</v>
      </c>
      <c r="B957" t="s">
        <v>5285</v>
      </c>
      <c r="C957" t="str">
        <f>"9781799810339"</f>
        <v>9781799810339</v>
      </c>
      <c r="D957" t="str">
        <f>"9781799810360"</f>
        <v>9781799810360</v>
      </c>
      <c r="E957" t="s">
        <v>138</v>
      </c>
      <c r="F957" t="s">
        <v>1769</v>
      </c>
      <c r="G957" s="1">
        <v>43763</v>
      </c>
      <c r="H957" s="1">
        <v>43714</v>
      </c>
      <c r="K957" t="s">
        <v>3216</v>
      </c>
      <c r="L957" t="s">
        <v>41</v>
      </c>
      <c r="M957" t="s">
        <v>5286</v>
      </c>
      <c r="N957">
        <v>332</v>
      </c>
      <c r="O957" t="s">
        <v>5287</v>
      </c>
      <c r="P957" t="s">
        <v>18</v>
      </c>
    </row>
    <row r="958" spans="1:16" x14ac:dyDescent="0.35">
      <c r="A958">
        <v>5946174</v>
      </c>
      <c r="B958" t="s">
        <v>5288</v>
      </c>
      <c r="C958" t="str">
        <f>"9781799816393"</f>
        <v>9781799816393</v>
      </c>
      <c r="D958" t="str">
        <f>"9781799816416"</f>
        <v>9781799816416</v>
      </c>
      <c r="E958" t="s">
        <v>138</v>
      </c>
      <c r="F958" t="s">
        <v>1769</v>
      </c>
      <c r="G958" s="1">
        <v>43763</v>
      </c>
      <c r="H958" s="1">
        <v>43756</v>
      </c>
      <c r="K958" t="s">
        <v>5289</v>
      </c>
      <c r="L958" t="s">
        <v>28</v>
      </c>
      <c r="M958" t="s">
        <v>5290</v>
      </c>
      <c r="N958">
        <v>658.85</v>
      </c>
      <c r="O958" t="s">
        <v>407</v>
      </c>
      <c r="P958" t="s">
        <v>18</v>
      </c>
    </row>
    <row r="959" spans="1:16" x14ac:dyDescent="0.35">
      <c r="A959">
        <v>5966990</v>
      </c>
      <c r="B959" t="s">
        <v>5291</v>
      </c>
      <c r="C959" t="str">
        <f>"9780128151679"</f>
        <v>9780128151679</v>
      </c>
      <c r="D959" t="str">
        <f>"9780128151686"</f>
        <v>9780128151686</v>
      </c>
      <c r="E959" t="s">
        <v>1699</v>
      </c>
      <c r="F959" t="s">
        <v>1699</v>
      </c>
      <c r="G959" s="1">
        <v>43763</v>
      </c>
      <c r="H959" s="1">
        <v>43766</v>
      </c>
      <c r="K959" t="s">
        <v>5292</v>
      </c>
      <c r="L959" t="s">
        <v>28</v>
      </c>
      <c r="M959" t="s">
        <v>5293</v>
      </c>
      <c r="N959">
        <v>388</v>
      </c>
      <c r="O959" t="s">
        <v>5294</v>
      </c>
      <c r="P959" t="s">
        <v>18</v>
      </c>
    </row>
    <row r="960" spans="1:16" x14ac:dyDescent="0.35">
      <c r="A960">
        <v>6027415</v>
      </c>
      <c r="B960" t="s">
        <v>5295</v>
      </c>
      <c r="C960" t="str">
        <f>"9781498580052"</f>
        <v>9781498580052</v>
      </c>
      <c r="D960" t="str">
        <f>"9781498580069"</f>
        <v>9781498580069</v>
      </c>
      <c r="E960" t="s">
        <v>445</v>
      </c>
      <c r="F960" t="s">
        <v>445</v>
      </c>
      <c r="G960" s="1">
        <v>43763</v>
      </c>
      <c r="H960" s="1">
        <v>43855</v>
      </c>
      <c r="K960" t="s">
        <v>5296</v>
      </c>
      <c r="L960" t="s">
        <v>37</v>
      </c>
      <c r="M960" t="s">
        <v>5297</v>
      </c>
      <c r="N960">
        <v>261.88</v>
      </c>
      <c r="O960" t="s">
        <v>5298</v>
      </c>
      <c r="P960" t="s">
        <v>18</v>
      </c>
    </row>
    <row r="961" spans="1:16" x14ac:dyDescent="0.35">
      <c r="A961">
        <v>5965250</v>
      </c>
      <c r="B961" t="s">
        <v>5299</v>
      </c>
      <c r="C961" t="str">
        <f>"9780128177709"</f>
        <v>9780128177709</v>
      </c>
      <c r="D961" t="str">
        <f>"9780128177716"</f>
        <v>9780128177716</v>
      </c>
      <c r="E961" t="s">
        <v>1699</v>
      </c>
      <c r="F961" t="s">
        <v>1699</v>
      </c>
      <c r="G961" s="1">
        <v>43760</v>
      </c>
      <c r="H961" s="1">
        <v>43763</v>
      </c>
      <c r="K961" t="s">
        <v>5300</v>
      </c>
      <c r="L961" t="s">
        <v>166</v>
      </c>
      <c r="M961" t="s">
        <v>5301</v>
      </c>
      <c r="N961">
        <v>621.30999999999995</v>
      </c>
      <c r="O961" t="s">
        <v>5302</v>
      </c>
      <c r="P961" t="s">
        <v>18</v>
      </c>
    </row>
    <row r="962" spans="1:16" x14ac:dyDescent="0.35">
      <c r="A962">
        <v>5966989</v>
      </c>
      <c r="B962" t="s">
        <v>5303</v>
      </c>
      <c r="C962" t="str">
        <f>"9780128160275"</f>
        <v>9780128160275</v>
      </c>
      <c r="D962" t="str">
        <f>"9780128162927"</f>
        <v>9780128162927</v>
      </c>
      <c r="E962" t="s">
        <v>190</v>
      </c>
      <c r="F962" t="s">
        <v>191</v>
      </c>
      <c r="G962" s="1">
        <v>43760</v>
      </c>
      <c r="H962" s="1">
        <v>43766</v>
      </c>
      <c r="K962" t="s">
        <v>5304</v>
      </c>
      <c r="L962" t="s">
        <v>26</v>
      </c>
      <c r="M962" t="s">
        <v>5305</v>
      </c>
      <c r="N962">
        <v>338.43362100000002</v>
      </c>
      <c r="O962" t="s">
        <v>5082</v>
      </c>
      <c r="P962" t="s">
        <v>18</v>
      </c>
    </row>
    <row r="963" spans="1:16" x14ac:dyDescent="0.35">
      <c r="A963">
        <v>5946166</v>
      </c>
      <c r="B963" t="s">
        <v>5306</v>
      </c>
      <c r="C963" t="str">
        <f>"9781799801986"</f>
        <v>9781799801986</v>
      </c>
      <c r="D963" t="str">
        <f>"9781799802013"</f>
        <v>9781799802013</v>
      </c>
      <c r="E963" t="s">
        <v>138</v>
      </c>
      <c r="F963" t="s">
        <v>1764</v>
      </c>
      <c r="G963" s="1">
        <v>43756</v>
      </c>
      <c r="H963" s="1">
        <v>43756</v>
      </c>
      <c r="K963" t="s">
        <v>5307</v>
      </c>
      <c r="L963" t="s">
        <v>113</v>
      </c>
      <c r="M963" t="s">
        <v>5308</v>
      </c>
      <c r="N963" t="s">
        <v>5309</v>
      </c>
      <c r="O963" t="s">
        <v>5310</v>
      </c>
      <c r="P963" t="s">
        <v>18</v>
      </c>
    </row>
    <row r="964" spans="1:16" x14ac:dyDescent="0.35">
      <c r="A964">
        <v>5964653</v>
      </c>
      <c r="B964" t="s">
        <v>5311</v>
      </c>
      <c r="C964" t="str">
        <f>"9780128176887"</f>
        <v>9780128176887</v>
      </c>
      <c r="D964" t="str">
        <f>"9780128176894"</f>
        <v>9780128176894</v>
      </c>
      <c r="E964" t="s">
        <v>1699</v>
      </c>
      <c r="F964" t="s">
        <v>1699</v>
      </c>
      <c r="G964" s="1">
        <v>43756</v>
      </c>
      <c r="H964" s="1">
        <v>43762</v>
      </c>
      <c r="K964" t="s">
        <v>5312</v>
      </c>
      <c r="L964" t="s">
        <v>226</v>
      </c>
      <c r="M964" t="s">
        <v>5313</v>
      </c>
      <c r="N964">
        <v>333.79399999999998</v>
      </c>
      <c r="O964" t="s">
        <v>481</v>
      </c>
      <c r="P964" t="s">
        <v>18</v>
      </c>
    </row>
    <row r="965" spans="1:16" x14ac:dyDescent="0.35">
      <c r="A965">
        <v>5946034</v>
      </c>
      <c r="B965" t="s">
        <v>5314</v>
      </c>
      <c r="C965" t="str">
        <f>"9780128173862"</f>
        <v>9780128173862</v>
      </c>
      <c r="D965" t="str">
        <f>"9780128173879"</f>
        <v>9780128173879</v>
      </c>
      <c r="E965" t="s">
        <v>1699</v>
      </c>
      <c r="F965" t="s">
        <v>1699</v>
      </c>
      <c r="G965" s="1">
        <v>43750</v>
      </c>
      <c r="H965" s="1">
        <v>43756</v>
      </c>
      <c r="K965" t="s">
        <v>5315</v>
      </c>
      <c r="L965" t="s">
        <v>5316</v>
      </c>
      <c r="M965" t="s">
        <v>5317</v>
      </c>
      <c r="N965">
        <v>541.34820000000002</v>
      </c>
      <c r="O965" t="s">
        <v>4300</v>
      </c>
      <c r="P965" t="s">
        <v>18</v>
      </c>
    </row>
    <row r="966" spans="1:16" x14ac:dyDescent="0.35">
      <c r="A966">
        <v>5891268</v>
      </c>
      <c r="B966" t="s">
        <v>5318</v>
      </c>
      <c r="C966" t="str">
        <f>"9781522595625"</f>
        <v>9781522595625</v>
      </c>
      <c r="D966" t="str">
        <f>"9781522595649"</f>
        <v>9781522595649</v>
      </c>
      <c r="E966" t="s">
        <v>138</v>
      </c>
      <c r="F966" t="s">
        <v>1769</v>
      </c>
      <c r="G966" s="1">
        <v>43749</v>
      </c>
      <c r="H966" s="1">
        <v>43714</v>
      </c>
      <c r="K966" t="s">
        <v>5319</v>
      </c>
      <c r="L966" t="s">
        <v>202</v>
      </c>
      <c r="M966" t="s">
        <v>5320</v>
      </c>
      <c r="N966">
        <v>333.7</v>
      </c>
      <c r="O966" t="s">
        <v>5321</v>
      </c>
      <c r="P966" t="s">
        <v>18</v>
      </c>
    </row>
    <row r="967" spans="1:16" x14ac:dyDescent="0.35">
      <c r="A967">
        <v>5909916</v>
      </c>
      <c r="B967" t="s">
        <v>5322</v>
      </c>
      <c r="C967" t="str">
        <f>"9781787692305"</f>
        <v>9781787692305</v>
      </c>
      <c r="D967" t="str">
        <f>"9781787692312"</f>
        <v>9781787692312</v>
      </c>
      <c r="E967" t="s">
        <v>187</v>
      </c>
      <c r="F967" t="s">
        <v>187</v>
      </c>
      <c r="G967" s="1">
        <v>43748</v>
      </c>
      <c r="H967" s="1">
        <v>43739</v>
      </c>
      <c r="J967" t="s">
        <v>5323</v>
      </c>
      <c r="K967" t="s">
        <v>5324</v>
      </c>
      <c r="L967" t="s">
        <v>38</v>
      </c>
      <c r="M967" t="s">
        <v>5325</v>
      </c>
      <c r="N967">
        <v>364.14509181400001</v>
      </c>
      <c r="O967" t="s">
        <v>243</v>
      </c>
      <c r="P967" t="s">
        <v>18</v>
      </c>
    </row>
    <row r="968" spans="1:16" x14ac:dyDescent="0.35">
      <c r="A968">
        <v>5940206</v>
      </c>
      <c r="B968" t="s">
        <v>5326</v>
      </c>
      <c r="C968" t="str">
        <f>"9781527535220"</f>
        <v>9781527535220</v>
      </c>
      <c r="D968" t="str">
        <f>"9781527541160"</f>
        <v>9781527541160</v>
      </c>
      <c r="E968" t="s">
        <v>1662</v>
      </c>
      <c r="F968" t="s">
        <v>1662</v>
      </c>
      <c r="G968" s="1">
        <v>43747</v>
      </c>
      <c r="H968" s="1">
        <v>43750</v>
      </c>
      <c r="K968" t="s">
        <v>5327</v>
      </c>
      <c r="L968" t="s">
        <v>203</v>
      </c>
      <c r="M968" t="s">
        <v>5328</v>
      </c>
      <c r="N968">
        <v>793.31</v>
      </c>
      <c r="O968" t="s">
        <v>5329</v>
      </c>
      <c r="P968" t="s">
        <v>18</v>
      </c>
    </row>
    <row r="969" spans="1:16" x14ac:dyDescent="0.35">
      <c r="A969">
        <v>5900456</v>
      </c>
      <c r="B969" t="s">
        <v>5330</v>
      </c>
      <c r="C969" t="str">
        <f>"9781538120354"</f>
        <v>9781538120354</v>
      </c>
      <c r="D969" t="str">
        <f>"9781538120361"</f>
        <v>9781538120361</v>
      </c>
      <c r="E969" t="s">
        <v>443</v>
      </c>
      <c r="F969" t="s">
        <v>443</v>
      </c>
      <c r="G969" s="1">
        <v>43746</v>
      </c>
      <c r="H969" s="1">
        <v>43733</v>
      </c>
      <c r="J969" t="s">
        <v>5331</v>
      </c>
      <c r="K969" t="s">
        <v>5332</v>
      </c>
      <c r="L969" t="s">
        <v>105</v>
      </c>
      <c r="M969" t="s">
        <v>5333</v>
      </c>
      <c r="N969">
        <v>363.70095103</v>
      </c>
      <c r="O969" t="s">
        <v>5334</v>
      </c>
      <c r="P969" t="s">
        <v>18</v>
      </c>
    </row>
    <row r="970" spans="1:16" x14ac:dyDescent="0.35">
      <c r="A970">
        <v>6676456</v>
      </c>
      <c r="B970" t="s">
        <v>5335</v>
      </c>
      <c r="C970" t="str">
        <f>"9780500295038"</f>
        <v>9780500295038</v>
      </c>
      <c r="D970" t="str">
        <f>"9780500774786"</f>
        <v>9780500774786</v>
      </c>
      <c r="E970" t="s">
        <v>5336</v>
      </c>
      <c r="F970" t="s">
        <v>5336</v>
      </c>
      <c r="G970" s="1">
        <v>43746</v>
      </c>
      <c r="H970" s="1">
        <v>44390</v>
      </c>
      <c r="I970">
        <v>1</v>
      </c>
      <c r="J970" t="s">
        <v>5337</v>
      </c>
      <c r="K970" t="s">
        <v>5338</v>
      </c>
      <c r="L970" t="s">
        <v>513</v>
      </c>
      <c r="N970">
        <v>613.26220000000001</v>
      </c>
      <c r="P970" t="s">
        <v>18</v>
      </c>
    </row>
    <row r="971" spans="1:16" x14ac:dyDescent="0.35">
      <c r="A971">
        <v>5842973</v>
      </c>
      <c r="B971" t="s">
        <v>5339</v>
      </c>
      <c r="C971" t="str">
        <f>"9781350071087"</f>
        <v>9781350071087</v>
      </c>
      <c r="D971" t="str">
        <f>"9781350071094"</f>
        <v>9781350071094</v>
      </c>
      <c r="E971" t="s">
        <v>539</v>
      </c>
      <c r="F971" t="s">
        <v>540</v>
      </c>
      <c r="G971" s="1">
        <v>43741</v>
      </c>
      <c r="H971" s="1">
        <v>43678</v>
      </c>
      <c r="K971" t="s">
        <v>5340</v>
      </c>
      <c r="L971" t="s">
        <v>375</v>
      </c>
      <c r="M971" t="s">
        <v>5341</v>
      </c>
      <c r="N971">
        <v>712</v>
      </c>
      <c r="O971" t="s">
        <v>5342</v>
      </c>
      <c r="P971" t="s">
        <v>18</v>
      </c>
    </row>
    <row r="972" spans="1:16" x14ac:dyDescent="0.35">
      <c r="A972">
        <v>5848552</v>
      </c>
      <c r="B972" t="s">
        <v>5343</v>
      </c>
      <c r="C972" t="str">
        <f>""</f>
        <v/>
      </c>
      <c r="D972" t="str">
        <f>"9781522567059"</f>
        <v>9781522567059</v>
      </c>
      <c r="E972" t="s">
        <v>138</v>
      </c>
      <c r="F972" t="s">
        <v>138</v>
      </c>
      <c r="G972" s="1">
        <v>43739</v>
      </c>
      <c r="H972" s="1">
        <v>43687</v>
      </c>
      <c r="K972" t="s">
        <v>2410</v>
      </c>
      <c r="L972" t="s">
        <v>38</v>
      </c>
      <c r="M972" t="s">
        <v>5344</v>
      </c>
      <c r="N972">
        <v>305</v>
      </c>
      <c r="O972" t="s">
        <v>3714</v>
      </c>
      <c r="P972" t="s">
        <v>18</v>
      </c>
    </row>
    <row r="973" spans="1:16" x14ac:dyDescent="0.35">
      <c r="A973">
        <v>5940370</v>
      </c>
      <c r="B973" t="s">
        <v>2345</v>
      </c>
      <c r="C973" t="str">
        <f>"9780128176986"</f>
        <v>9780128176986</v>
      </c>
      <c r="D973" t="str">
        <f>"9780128176993"</f>
        <v>9780128176993</v>
      </c>
      <c r="E973" t="s">
        <v>190</v>
      </c>
      <c r="F973" t="s">
        <v>191</v>
      </c>
      <c r="G973" s="1">
        <v>43739</v>
      </c>
      <c r="H973" s="1">
        <v>43750</v>
      </c>
      <c r="J973" t="s">
        <v>291</v>
      </c>
      <c r="K973" t="s">
        <v>5345</v>
      </c>
      <c r="L973" t="s">
        <v>26</v>
      </c>
      <c r="M973" t="s">
        <v>5346</v>
      </c>
      <c r="N973">
        <v>338.19</v>
      </c>
      <c r="O973" t="s">
        <v>5347</v>
      </c>
      <c r="P973" t="s">
        <v>18</v>
      </c>
    </row>
    <row r="974" spans="1:16" x14ac:dyDescent="0.35">
      <c r="A974">
        <v>5968312</v>
      </c>
      <c r="B974" t="s">
        <v>5348</v>
      </c>
      <c r="C974" t="str">
        <f>"9781786430861"</f>
        <v>9781786430861</v>
      </c>
      <c r="D974" t="str">
        <f>"9781786430878"</f>
        <v>9781786430878</v>
      </c>
      <c r="E974" t="s">
        <v>2080</v>
      </c>
      <c r="F974" t="s">
        <v>2080</v>
      </c>
      <c r="G974" s="1">
        <v>43739</v>
      </c>
      <c r="H974" s="1">
        <v>43769</v>
      </c>
      <c r="K974" t="s">
        <v>5349</v>
      </c>
      <c r="L974" t="s">
        <v>159</v>
      </c>
      <c r="M974" t="s">
        <v>5350</v>
      </c>
      <c r="N974">
        <v>172</v>
      </c>
      <c r="O974" t="s">
        <v>5351</v>
      </c>
      <c r="P974" t="s">
        <v>18</v>
      </c>
    </row>
    <row r="975" spans="1:16" x14ac:dyDescent="0.35">
      <c r="A975">
        <v>6190174</v>
      </c>
      <c r="B975" t="s">
        <v>5352</v>
      </c>
      <c r="C975" t="str">
        <f>""</f>
        <v/>
      </c>
      <c r="D975" t="str">
        <f>"9781522568094"</f>
        <v>9781522568094</v>
      </c>
      <c r="E975" t="s">
        <v>138</v>
      </c>
      <c r="F975" t="s">
        <v>138</v>
      </c>
      <c r="G975" s="1">
        <v>43739</v>
      </c>
      <c r="H975" s="1">
        <v>43956</v>
      </c>
      <c r="K975" t="s">
        <v>3292</v>
      </c>
      <c r="L975" t="s">
        <v>26</v>
      </c>
      <c r="M975" t="s">
        <v>5353</v>
      </c>
      <c r="N975">
        <v>338.92700000000002</v>
      </c>
      <c r="O975" t="s">
        <v>503</v>
      </c>
      <c r="P975" t="s">
        <v>18</v>
      </c>
    </row>
    <row r="976" spans="1:16" x14ac:dyDescent="0.35">
      <c r="A976">
        <v>5915596</v>
      </c>
      <c r="B976" t="s">
        <v>5354</v>
      </c>
      <c r="C976" t="str">
        <f>"9781522599401"</f>
        <v>9781522599401</v>
      </c>
      <c r="D976" t="str">
        <f>"9781522599418"</f>
        <v>9781522599418</v>
      </c>
      <c r="E976" t="s">
        <v>138</v>
      </c>
      <c r="F976" t="s">
        <v>1769</v>
      </c>
      <c r="G976" s="1">
        <v>43735</v>
      </c>
      <c r="H976" s="1">
        <v>43741</v>
      </c>
      <c r="K976" t="s">
        <v>5355</v>
      </c>
      <c r="L976" t="s">
        <v>26</v>
      </c>
      <c r="M976" t="s">
        <v>5356</v>
      </c>
      <c r="N976" t="s">
        <v>5357</v>
      </c>
      <c r="O976" t="s">
        <v>5358</v>
      </c>
      <c r="P976" t="s">
        <v>18</v>
      </c>
    </row>
    <row r="977" spans="1:16" x14ac:dyDescent="0.35">
      <c r="A977">
        <v>5928206</v>
      </c>
      <c r="B977" t="s">
        <v>5359</v>
      </c>
      <c r="C977" t="str">
        <f>"9780128176115"</f>
        <v>9780128176115</v>
      </c>
      <c r="D977" t="str">
        <f>"9780128176122"</f>
        <v>9780128176122</v>
      </c>
      <c r="E977" t="s">
        <v>190</v>
      </c>
      <c r="F977" t="s">
        <v>282</v>
      </c>
      <c r="G977" s="1">
        <v>43735</v>
      </c>
      <c r="H977" s="1">
        <v>43747</v>
      </c>
      <c r="K977" t="s">
        <v>5360</v>
      </c>
      <c r="L977" t="s">
        <v>93</v>
      </c>
      <c r="M977" t="s">
        <v>5361</v>
      </c>
      <c r="N977">
        <v>697</v>
      </c>
      <c r="O977" t="s">
        <v>5362</v>
      </c>
      <c r="P977" t="s">
        <v>18</v>
      </c>
    </row>
    <row r="978" spans="1:16" x14ac:dyDescent="0.35">
      <c r="A978">
        <v>5972429</v>
      </c>
      <c r="B978" t="s">
        <v>5363</v>
      </c>
      <c r="C978" t="str">
        <f>"9781522595700"</f>
        <v>9781522595700</v>
      </c>
      <c r="D978" t="str">
        <f>"9781522595724"</f>
        <v>9781522595724</v>
      </c>
      <c r="E978" t="s">
        <v>138</v>
      </c>
      <c r="F978" t="s">
        <v>1769</v>
      </c>
      <c r="G978" s="1">
        <v>43735</v>
      </c>
      <c r="H978" s="1">
        <v>43776</v>
      </c>
      <c r="K978" t="s">
        <v>5364</v>
      </c>
      <c r="L978" t="s">
        <v>28</v>
      </c>
      <c r="M978" t="s">
        <v>5365</v>
      </c>
      <c r="N978">
        <v>658.7</v>
      </c>
      <c r="O978" t="s">
        <v>298</v>
      </c>
      <c r="P978" t="s">
        <v>18</v>
      </c>
    </row>
    <row r="979" spans="1:16" x14ac:dyDescent="0.35">
      <c r="A979">
        <v>5889416</v>
      </c>
      <c r="B979" t="s">
        <v>5366</v>
      </c>
      <c r="C979" t="str">
        <f>"9781789734805"</f>
        <v>9781789734805</v>
      </c>
      <c r="D979" t="str">
        <f>"9781789734775"</f>
        <v>9781789734775</v>
      </c>
      <c r="E979" t="s">
        <v>187</v>
      </c>
      <c r="F979" t="s">
        <v>187</v>
      </c>
      <c r="G979" s="1">
        <v>43732</v>
      </c>
      <c r="H979" s="1">
        <v>43712</v>
      </c>
      <c r="J979" t="s">
        <v>2190</v>
      </c>
      <c r="K979" t="s">
        <v>5367</v>
      </c>
      <c r="L979" t="s">
        <v>305</v>
      </c>
      <c r="M979" t="s">
        <v>2810</v>
      </c>
      <c r="N979">
        <v>338.92700000000002</v>
      </c>
      <c r="O979" t="s">
        <v>5368</v>
      </c>
      <c r="P979" t="s">
        <v>18</v>
      </c>
    </row>
    <row r="980" spans="1:16" x14ac:dyDescent="0.35">
      <c r="A980">
        <v>5982543</v>
      </c>
      <c r="B980" t="s">
        <v>5369</v>
      </c>
      <c r="C980" t="str">
        <f>"9781536157543"</f>
        <v>9781536157543</v>
      </c>
      <c r="D980" t="str">
        <f>"9781536157550"</f>
        <v>9781536157550</v>
      </c>
      <c r="E980" t="s">
        <v>1689</v>
      </c>
      <c r="F980" t="s">
        <v>1689</v>
      </c>
      <c r="G980" s="1">
        <v>43732</v>
      </c>
      <c r="H980" s="1">
        <v>43790</v>
      </c>
      <c r="I980">
        <v>1</v>
      </c>
      <c r="J980" t="s">
        <v>5370</v>
      </c>
      <c r="K980" t="s">
        <v>5371</v>
      </c>
      <c r="L980" t="s">
        <v>34</v>
      </c>
      <c r="P980" t="s">
        <v>18</v>
      </c>
    </row>
    <row r="981" spans="1:16" x14ac:dyDescent="0.35">
      <c r="A981">
        <v>5904608</v>
      </c>
      <c r="B981" t="s">
        <v>5372</v>
      </c>
      <c r="C981" t="str">
        <f>"9781522597506"</f>
        <v>9781522597506</v>
      </c>
      <c r="D981" t="str">
        <f>"9781522597520"</f>
        <v>9781522597520</v>
      </c>
      <c r="E981" t="s">
        <v>138</v>
      </c>
      <c r="F981" t="s">
        <v>1764</v>
      </c>
      <c r="G981" s="1">
        <v>43728</v>
      </c>
      <c r="H981" s="1">
        <v>43734</v>
      </c>
      <c r="K981" t="s">
        <v>5373</v>
      </c>
      <c r="L981" t="s">
        <v>56</v>
      </c>
      <c r="M981" t="s">
        <v>5374</v>
      </c>
      <c r="N981">
        <v>5.7</v>
      </c>
      <c r="O981" t="s">
        <v>5375</v>
      </c>
      <c r="P981" t="s">
        <v>18</v>
      </c>
    </row>
    <row r="982" spans="1:16" x14ac:dyDescent="0.35">
      <c r="A982">
        <v>5838253</v>
      </c>
      <c r="B982" t="s">
        <v>5376</v>
      </c>
      <c r="C982" t="str">
        <f>"9781538115480"</f>
        <v>9781538115480</v>
      </c>
      <c r="D982" t="str">
        <f>"9781538115503"</f>
        <v>9781538115503</v>
      </c>
      <c r="E982" t="s">
        <v>443</v>
      </c>
      <c r="F982" t="s">
        <v>443</v>
      </c>
      <c r="G982" s="1">
        <v>43727</v>
      </c>
      <c r="H982" s="1">
        <v>43672</v>
      </c>
      <c r="J982" t="s">
        <v>5377</v>
      </c>
      <c r="K982" t="s">
        <v>5378</v>
      </c>
      <c r="L982" t="s">
        <v>257</v>
      </c>
      <c r="M982" t="s">
        <v>5379</v>
      </c>
      <c r="N982">
        <v>304.20749999999998</v>
      </c>
      <c r="O982" t="s">
        <v>5380</v>
      </c>
      <c r="P982" t="s">
        <v>18</v>
      </c>
    </row>
    <row r="983" spans="1:16" x14ac:dyDescent="0.35">
      <c r="A983">
        <v>5899834</v>
      </c>
      <c r="B983" t="s">
        <v>5381</v>
      </c>
      <c r="C983" t="str">
        <f>"9780128146811"</f>
        <v>9780128146811</v>
      </c>
      <c r="D983" t="str">
        <f>"9780128146828"</f>
        <v>9780128146828</v>
      </c>
      <c r="E983" t="s">
        <v>1699</v>
      </c>
      <c r="F983" t="s">
        <v>1699</v>
      </c>
      <c r="G983" s="1">
        <v>43727</v>
      </c>
      <c r="H983" s="1">
        <v>43730</v>
      </c>
      <c r="K983" t="s">
        <v>5382</v>
      </c>
      <c r="L983" t="s">
        <v>5383</v>
      </c>
      <c r="M983" t="s">
        <v>5384</v>
      </c>
      <c r="N983">
        <v>620.5</v>
      </c>
      <c r="O983" t="s">
        <v>5385</v>
      </c>
      <c r="P983" t="s">
        <v>18</v>
      </c>
    </row>
    <row r="984" spans="1:16" x14ac:dyDescent="0.35">
      <c r="A984">
        <v>5946032</v>
      </c>
      <c r="B984" t="s">
        <v>5386</v>
      </c>
      <c r="C984" t="str">
        <f>"9781785483141"</f>
        <v>9781785483141</v>
      </c>
      <c r="D984" t="str">
        <f>"9780128212417"</f>
        <v>9780128212417</v>
      </c>
      <c r="E984" t="s">
        <v>5387</v>
      </c>
      <c r="F984" t="s">
        <v>5387</v>
      </c>
      <c r="G984" s="1">
        <v>43726</v>
      </c>
      <c r="H984" s="1">
        <v>43756</v>
      </c>
      <c r="K984" t="s">
        <v>5388</v>
      </c>
      <c r="L984" t="s">
        <v>1467</v>
      </c>
      <c r="M984" t="s">
        <v>5389</v>
      </c>
      <c r="N984">
        <v>615.90200000000004</v>
      </c>
      <c r="O984" t="s">
        <v>2648</v>
      </c>
      <c r="P984" t="s">
        <v>18</v>
      </c>
    </row>
    <row r="985" spans="1:16" x14ac:dyDescent="0.35">
      <c r="A985">
        <v>5940379</v>
      </c>
      <c r="B985" t="s">
        <v>5390</v>
      </c>
      <c r="C985" t="str">
        <f>"9780128187340"</f>
        <v>9780128187340</v>
      </c>
      <c r="D985" t="str">
        <f>"9780128187258"</f>
        <v>9780128187258</v>
      </c>
      <c r="E985" t="s">
        <v>190</v>
      </c>
      <c r="F985" t="s">
        <v>280</v>
      </c>
      <c r="G985" s="1">
        <v>43725</v>
      </c>
      <c r="H985" s="1">
        <v>43750</v>
      </c>
      <c r="J985" t="s">
        <v>491</v>
      </c>
      <c r="K985" t="s">
        <v>5391</v>
      </c>
      <c r="L985" t="s">
        <v>172</v>
      </c>
      <c r="M985" t="s">
        <v>5392</v>
      </c>
      <c r="N985" t="s">
        <v>5393</v>
      </c>
      <c r="O985" t="s">
        <v>5394</v>
      </c>
      <c r="P985" t="s">
        <v>18</v>
      </c>
    </row>
    <row r="986" spans="1:16" x14ac:dyDescent="0.35">
      <c r="A986">
        <v>5897437</v>
      </c>
      <c r="B986" t="s">
        <v>5395</v>
      </c>
      <c r="C986" t="str">
        <f>"9780128195567"</f>
        <v>9780128195567</v>
      </c>
      <c r="D986" t="str">
        <f>"9780128195574"</f>
        <v>9780128195574</v>
      </c>
      <c r="E986" t="s">
        <v>190</v>
      </c>
      <c r="F986" t="s">
        <v>191</v>
      </c>
      <c r="G986" s="1">
        <v>43722</v>
      </c>
      <c r="H986" s="1">
        <v>43726</v>
      </c>
      <c r="K986" t="s">
        <v>5396</v>
      </c>
      <c r="L986" t="s">
        <v>2739</v>
      </c>
      <c r="M986" t="s">
        <v>5397</v>
      </c>
      <c r="N986">
        <v>333.79399999999998</v>
      </c>
      <c r="O986" t="s">
        <v>481</v>
      </c>
      <c r="P986" t="s">
        <v>18</v>
      </c>
    </row>
    <row r="987" spans="1:16" x14ac:dyDescent="0.35">
      <c r="A987">
        <v>6280157</v>
      </c>
      <c r="B987" t="s">
        <v>5398</v>
      </c>
      <c r="C987" t="str">
        <f>"9780128099438"</f>
        <v>9780128099438</v>
      </c>
      <c r="D987" t="str">
        <f>"9780128131756"</f>
        <v>9780128131756</v>
      </c>
      <c r="E987" t="s">
        <v>190</v>
      </c>
      <c r="F987" t="s">
        <v>190</v>
      </c>
      <c r="G987" s="1">
        <v>43722</v>
      </c>
      <c r="H987" s="1">
        <v>44049</v>
      </c>
      <c r="K987" t="s">
        <v>5399</v>
      </c>
      <c r="L987" t="s">
        <v>114</v>
      </c>
      <c r="M987" t="s">
        <v>5400</v>
      </c>
      <c r="N987">
        <v>333.79399999999902</v>
      </c>
      <c r="O987" t="s">
        <v>481</v>
      </c>
      <c r="P987" t="s">
        <v>18</v>
      </c>
    </row>
    <row r="988" spans="1:16" x14ac:dyDescent="0.35">
      <c r="A988">
        <v>6280153</v>
      </c>
      <c r="B988" t="s">
        <v>5401</v>
      </c>
      <c r="C988" t="str">
        <f>"9780128186220"</f>
        <v>9780128186220</v>
      </c>
      <c r="D988" t="str">
        <f>"9780128186237"</f>
        <v>9780128186237</v>
      </c>
      <c r="E988" t="s">
        <v>1699</v>
      </c>
      <c r="F988" t="s">
        <v>1699</v>
      </c>
      <c r="G988" s="1">
        <v>43721</v>
      </c>
      <c r="H988" s="1">
        <v>44049</v>
      </c>
      <c r="K988" t="s">
        <v>5402</v>
      </c>
      <c r="L988" t="s">
        <v>105</v>
      </c>
      <c r="M988" t="s">
        <v>5403</v>
      </c>
      <c r="N988">
        <v>363.70072699999997</v>
      </c>
      <c r="O988" t="s">
        <v>5404</v>
      </c>
      <c r="P988" t="s">
        <v>18</v>
      </c>
    </row>
    <row r="989" spans="1:16" x14ac:dyDescent="0.35">
      <c r="A989">
        <v>5837261</v>
      </c>
      <c r="B989" t="s">
        <v>5405</v>
      </c>
      <c r="C989" t="str">
        <f>"9781789203066"</f>
        <v>9781789203066</v>
      </c>
      <c r="D989" t="str">
        <f>"9781789203073"</f>
        <v>9781789203073</v>
      </c>
      <c r="E989" t="s">
        <v>447</v>
      </c>
      <c r="F989" t="s">
        <v>447</v>
      </c>
      <c r="G989" s="1">
        <v>43712</v>
      </c>
      <c r="H989" s="1">
        <v>43671</v>
      </c>
      <c r="I989">
        <v>1</v>
      </c>
      <c r="K989" t="s">
        <v>4623</v>
      </c>
      <c r="L989" t="s">
        <v>38</v>
      </c>
      <c r="M989" t="s">
        <v>5406</v>
      </c>
      <c r="N989">
        <v>306.76097299999998</v>
      </c>
      <c r="P989" t="s">
        <v>18</v>
      </c>
    </row>
    <row r="990" spans="1:16" x14ac:dyDescent="0.35">
      <c r="A990">
        <v>5845487</v>
      </c>
      <c r="B990" t="s">
        <v>5407</v>
      </c>
      <c r="C990" t="str">
        <f>"9781440839146"</f>
        <v>9781440839146</v>
      </c>
      <c r="D990" t="str">
        <f>"9781440839153"</f>
        <v>9781440839153</v>
      </c>
      <c r="E990" t="s">
        <v>440</v>
      </c>
      <c r="F990" t="s">
        <v>441</v>
      </c>
      <c r="G990" s="1">
        <v>43711</v>
      </c>
      <c r="H990" s="1">
        <v>43682</v>
      </c>
      <c r="K990" t="s">
        <v>5408</v>
      </c>
      <c r="L990" t="s">
        <v>53</v>
      </c>
      <c r="M990" t="s">
        <v>5409</v>
      </c>
      <c r="N990">
        <v>363.73874561097301</v>
      </c>
      <c r="O990" t="s">
        <v>5410</v>
      </c>
      <c r="P990" t="s">
        <v>18</v>
      </c>
    </row>
    <row r="991" spans="1:16" x14ac:dyDescent="0.35">
      <c r="A991">
        <v>5894077</v>
      </c>
      <c r="B991" t="s">
        <v>5411</v>
      </c>
      <c r="C991" t="str">
        <f>"9781788117098"</f>
        <v>9781788117098</v>
      </c>
      <c r="D991" t="str">
        <f>"9781788117104"</f>
        <v>9781788117104</v>
      </c>
      <c r="E991" t="s">
        <v>2080</v>
      </c>
      <c r="F991" t="s">
        <v>2080</v>
      </c>
      <c r="G991" s="1">
        <v>43710</v>
      </c>
      <c r="H991" s="1">
        <v>43719</v>
      </c>
      <c r="J991" t="s">
        <v>3157</v>
      </c>
      <c r="K991" t="s">
        <v>5412</v>
      </c>
      <c r="L991" t="s">
        <v>308</v>
      </c>
      <c r="M991" t="s">
        <v>5413</v>
      </c>
      <c r="N991">
        <v>338.47910000000002</v>
      </c>
      <c r="O991" t="s">
        <v>1964</v>
      </c>
      <c r="P991" t="s">
        <v>18</v>
      </c>
    </row>
    <row r="992" spans="1:16" x14ac:dyDescent="0.35">
      <c r="A992">
        <v>5894085</v>
      </c>
      <c r="B992" t="s">
        <v>5414</v>
      </c>
      <c r="C992" t="str">
        <f>"9781788112604"</f>
        <v>9781788112604</v>
      </c>
      <c r="D992" t="str">
        <f>"9781788112611"</f>
        <v>9781788112611</v>
      </c>
      <c r="E992" t="s">
        <v>2080</v>
      </c>
      <c r="F992" t="s">
        <v>2080</v>
      </c>
      <c r="G992" s="1">
        <v>43710</v>
      </c>
      <c r="H992" s="1">
        <v>43719</v>
      </c>
      <c r="K992" t="s">
        <v>5415</v>
      </c>
      <c r="L992" t="s">
        <v>368</v>
      </c>
      <c r="M992" t="s">
        <v>5416</v>
      </c>
      <c r="N992">
        <v>333.79</v>
      </c>
      <c r="O992" t="s">
        <v>517</v>
      </c>
      <c r="P992" t="s">
        <v>18</v>
      </c>
    </row>
    <row r="993" spans="1:16" x14ac:dyDescent="0.35">
      <c r="A993">
        <v>5848507</v>
      </c>
      <c r="B993" t="s">
        <v>5417</v>
      </c>
      <c r="C993" t="str">
        <f>"9781799800316"</f>
        <v>9781799800316</v>
      </c>
      <c r="D993" t="str">
        <f>"9781799800347"</f>
        <v>9781799800347</v>
      </c>
      <c r="E993" t="s">
        <v>138</v>
      </c>
      <c r="F993" t="s">
        <v>1764</v>
      </c>
      <c r="G993" s="1">
        <v>43707</v>
      </c>
      <c r="H993" s="1">
        <v>43687</v>
      </c>
      <c r="K993" t="s">
        <v>5418</v>
      </c>
      <c r="L993" t="s">
        <v>113</v>
      </c>
      <c r="M993" t="s">
        <v>5419</v>
      </c>
      <c r="N993">
        <v>628.4</v>
      </c>
      <c r="O993" t="s">
        <v>5420</v>
      </c>
      <c r="P993" t="s">
        <v>18</v>
      </c>
    </row>
    <row r="994" spans="1:16" x14ac:dyDescent="0.35">
      <c r="A994">
        <v>5885515</v>
      </c>
      <c r="B994" t="s">
        <v>5421</v>
      </c>
      <c r="C994" t="str">
        <f>"9780128038109"</f>
        <v>9780128038109</v>
      </c>
      <c r="D994" t="str">
        <f>"9780128038826"</f>
        <v>9780128038826</v>
      </c>
      <c r="E994" t="s">
        <v>190</v>
      </c>
      <c r="F994" t="s">
        <v>282</v>
      </c>
      <c r="G994" s="1">
        <v>43707</v>
      </c>
      <c r="H994" s="1">
        <v>43707</v>
      </c>
      <c r="K994" t="s">
        <v>324</v>
      </c>
      <c r="L994" t="s">
        <v>452</v>
      </c>
      <c r="M994" t="s">
        <v>5422</v>
      </c>
      <c r="N994">
        <v>628.1</v>
      </c>
      <c r="O994" t="s">
        <v>5423</v>
      </c>
      <c r="P994" t="s">
        <v>18</v>
      </c>
    </row>
    <row r="995" spans="1:16" x14ac:dyDescent="0.35">
      <c r="A995">
        <v>5898119</v>
      </c>
      <c r="B995" t="s">
        <v>5424</v>
      </c>
      <c r="C995" t="str">
        <f>"9781799800620"</f>
        <v>9781799800620</v>
      </c>
      <c r="D995" t="str">
        <f>"9781799800651"</f>
        <v>9781799800651</v>
      </c>
      <c r="E995" t="s">
        <v>138</v>
      </c>
      <c r="F995" t="s">
        <v>1789</v>
      </c>
      <c r="G995" s="1">
        <v>43707</v>
      </c>
      <c r="H995" s="1">
        <v>43727</v>
      </c>
      <c r="K995" t="s">
        <v>5425</v>
      </c>
      <c r="L995" t="s">
        <v>89</v>
      </c>
      <c r="M995" t="s">
        <v>5426</v>
      </c>
      <c r="N995">
        <v>304.20710000000003</v>
      </c>
      <c r="O995" t="s">
        <v>5427</v>
      </c>
      <c r="P995" t="s">
        <v>18</v>
      </c>
    </row>
    <row r="996" spans="1:16" x14ac:dyDescent="0.35">
      <c r="A996">
        <v>5840169</v>
      </c>
      <c r="B996" t="s">
        <v>5428</v>
      </c>
      <c r="C996" t="str">
        <f>"9781475844191"</f>
        <v>9781475844191</v>
      </c>
      <c r="D996" t="str">
        <f>"9781475844214"</f>
        <v>9781475844214</v>
      </c>
      <c r="E996" t="s">
        <v>443</v>
      </c>
      <c r="F996" t="s">
        <v>443</v>
      </c>
      <c r="G996" s="1">
        <v>43705</v>
      </c>
      <c r="H996" s="1">
        <v>43674</v>
      </c>
      <c r="K996" t="s">
        <v>384</v>
      </c>
      <c r="L996" t="s">
        <v>30</v>
      </c>
      <c r="M996" t="s">
        <v>5429</v>
      </c>
      <c r="N996">
        <v>371.60973000000001</v>
      </c>
      <c r="O996" t="s">
        <v>5430</v>
      </c>
      <c r="P996" t="s">
        <v>18</v>
      </c>
    </row>
    <row r="997" spans="1:16" x14ac:dyDescent="0.35">
      <c r="A997">
        <v>5888439</v>
      </c>
      <c r="B997" t="s">
        <v>5431</v>
      </c>
      <c r="C997" t="str">
        <f>"9780128166352"</f>
        <v>9780128166352</v>
      </c>
      <c r="D997" t="str">
        <f>"9780128166444"</f>
        <v>9780128166444</v>
      </c>
      <c r="E997" t="s">
        <v>190</v>
      </c>
      <c r="F997" t="s">
        <v>191</v>
      </c>
      <c r="G997" s="1">
        <v>43704</v>
      </c>
      <c r="H997" s="1">
        <v>43708</v>
      </c>
      <c r="K997" t="s">
        <v>5432</v>
      </c>
      <c r="L997" t="s">
        <v>66</v>
      </c>
      <c r="M997" t="s">
        <v>5433</v>
      </c>
      <c r="N997">
        <v>333.7</v>
      </c>
      <c r="O997" t="s">
        <v>2008</v>
      </c>
      <c r="P997" t="s">
        <v>18</v>
      </c>
    </row>
    <row r="998" spans="1:16" x14ac:dyDescent="0.35">
      <c r="A998">
        <v>5808886</v>
      </c>
      <c r="B998" t="s">
        <v>5434</v>
      </c>
      <c r="C998" t="str">
        <f>"9783035714531"</f>
        <v>9783035714531</v>
      </c>
      <c r="D998" t="str">
        <f>"9783035734539"</f>
        <v>9783035734539</v>
      </c>
      <c r="E998" t="s">
        <v>1649</v>
      </c>
      <c r="F998" t="s">
        <v>1649</v>
      </c>
      <c r="G998" s="1">
        <v>43703</v>
      </c>
      <c r="H998" s="1">
        <v>43652</v>
      </c>
      <c r="I998">
        <v>1</v>
      </c>
      <c r="J998" t="s">
        <v>1671</v>
      </c>
      <c r="K998" t="s">
        <v>5435</v>
      </c>
      <c r="L998" t="s">
        <v>173</v>
      </c>
      <c r="P998" t="s">
        <v>18</v>
      </c>
    </row>
    <row r="999" spans="1:16" x14ac:dyDescent="0.35">
      <c r="A999">
        <v>5837118</v>
      </c>
      <c r="B999" t="s">
        <v>5436</v>
      </c>
      <c r="C999" t="str">
        <f>"9781538112984"</f>
        <v>9781538112984</v>
      </c>
      <c r="D999" t="str">
        <f>"9781538112991"</f>
        <v>9781538112991</v>
      </c>
      <c r="E999" t="s">
        <v>443</v>
      </c>
      <c r="F999" t="s">
        <v>443</v>
      </c>
      <c r="G999" s="1">
        <v>43700</v>
      </c>
      <c r="H999" s="1">
        <v>43671</v>
      </c>
      <c r="K999" t="s">
        <v>5437</v>
      </c>
      <c r="L999" t="s">
        <v>52</v>
      </c>
      <c r="M999" t="s">
        <v>5438</v>
      </c>
      <c r="N999">
        <v>69.068100000000001</v>
      </c>
      <c r="O999" t="s">
        <v>5439</v>
      </c>
      <c r="P999" t="s">
        <v>18</v>
      </c>
    </row>
    <row r="1000" spans="1:16" x14ac:dyDescent="0.35">
      <c r="A1000">
        <v>5880651</v>
      </c>
      <c r="B1000" t="s">
        <v>5440</v>
      </c>
      <c r="C1000" t="str">
        <f>"9780081010945"</f>
        <v>9780081010945</v>
      </c>
      <c r="D1000" t="str">
        <f>"9780128097472"</f>
        <v>9780128097472</v>
      </c>
      <c r="E1000" t="s">
        <v>190</v>
      </c>
      <c r="F1000" t="s">
        <v>282</v>
      </c>
      <c r="G1000" s="1">
        <v>43700</v>
      </c>
      <c r="H1000" s="1">
        <v>43703</v>
      </c>
      <c r="K1000" t="s">
        <v>5441</v>
      </c>
      <c r="L1000" t="s">
        <v>202</v>
      </c>
      <c r="M1000" t="s">
        <v>5442</v>
      </c>
      <c r="N1000">
        <v>333.79399999999998</v>
      </c>
      <c r="O1000" t="s">
        <v>5443</v>
      </c>
      <c r="P1000" t="s">
        <v>18</v>
      </c>
    </row>
    <row r="1001" spans="1:16" x14ac:dyDescent="0.35">
      <c r="A1001">
        <v>5883410</v>
      </c>
      <c r="B1001" t="s">
        <v>5444</v>
      </c>
      <c r="C1001" t="str">
        <f>"9780128144749"</f>
        <v>9780128144749</v>
      </c>
      <c r="D1001" t="str">
        <f>"9780128144756"</f>
        <v>9780128144756</v>
      </c>
      <c r="E1001" t="s">
        <v>190</v>
      </c>
      <c r="F1001" t="s">
        <v>191</v>
      </c>
      <c r="G1001" s="1">
        <v>43700</v>
      </c>
      <c r="H1001" s="1">
        <v>43705</v>
      </c>
      <c r="K1001" t="s">
        <v>5445</v>
      </c>
      <c r="L1001" t="s">
        <v>168</v>
      </c>
      <c r="M1001" t="s">
        <v>5446</v>
      </c>
      <c r="N1001">
        <v>636.20844999999997</v>
      </c>
      <c r="O1001" t="s">
        <v>5447</v>
      </c>
      <c r="P1001" t="s">
        <v>18</v>
      </c>
    </row>
    <row r="1002" spans="1:16" x14ac:dyDescent="0.35">
      <c r="A1002">
        <v>5878461</v>
      </c>
      <c r="B1002" t="s">
        <v>5448</v>
      </c>
      <c r="C1002" t="str">
        <f>"9780128155813"</f>
        <v>9780128155813</v>
      </c>
      <c r="D1002" t="str">
        <f>"9780128155820"</f>
        <v>9780128155820</v>
      </c>
      <c r="E1002" t="s">
        <v>1699</v>
      </c>
      <c r="F1002" t="s">
        <v>1699</v>
      </c>
      <c r="G1002" s="1">
        <v>43699</v>
      </c>
      <c r="H1002" s="1">
        <v>43700</v>
      </c>
      <c r="K1002" t="s">
        <v>5449</v>
      </c>
      <c r="L1002" t="s">
        <v>76</v>
      </c>
      <c r="M1002" t="s">
        <v>5450</v>
      </c>
      <c r="N1002">
        <v>662.88</v>
      </c>
      <c r="O1002" t="s">
        <v>421</v>
      </c>
      <c r="P1002" t="s">
        <v>18</v>
      </c>
    </row>
    <row r="1003" spans="1:16" x14ac:dyDescent="0.35">
      <c r="A1003">
        <v>5994474</v>
      </c>
      <c r="B1003" t="s">
        <v>5451</v>
      </c>
      <c r="C1003" t="str">
        <f>"9780444639516"</f>
        <v>9780444639516</v>
      </c>
      <c r="D1003" t="str">
        <f>"9780444639523"</f>
        <v>9780444639523</v>
      </c>
      <c r="E1003" t="s">
        <v>1699</v>
      </c>
      <c r="F1003" t="s">
        <v>1699</v>
      </c>
      <c r="G1003" s="1">
        <v>43699</v>
      </c>
      <c r="H1003" s="1">
        <v>43813</v>
      </c>
      <c r="I1003">
        <v>2</v>
      </c>
      <c r="K1003" t="s">
        <v>5452</v>
      </c>
      <c r="L1003" t="s">
        <v>5453</v>
      </c>
      <c r="M1003" t="s">
        <v>5454</v>
      </c>
      <c r="N1003">
        <v>363.70030000000003</v>
      </c>
      <c r="P1003" t="s">
        <v>18</v>
      </c>
    </row>
    <row r="1004" spans="1:16" x14ac:dyDescent="0.35">
      <c r="A1004">
        <v>5879962</v>
      </c>
      <c r="B1004" t="s">
        <v>5455</v>
      </c>
      <c r="C1004" t="str">
        <f>"9780128173824"</f>
        <v>9780128173824</v>
      </c>
      <c r="D1004" t="str">
        <f>"9780128173831"</f>
        <v>9780128173831</v>
      </c>
      <c r="E1004" t="s">
        <v>1699</v>
      </c>
      <c r="F1004" t="s">
        <v>1699</v>
      </c>
      <c r="G1004" s="1">
        <v>43698</v>
      </c>
      <c r="H1004" s="1">
        <v>43701</v>
      </c>
      <c r="K1004" t="s">
        <v>3060</v>
      </c>
      <c r="L1004" t="s">
        <v>105</v>
      </c>
      <c r="M1004" t="s">
        <v>5456</v>
      </c>
      <c r="N1004">
        <v>363.7</v>
      </c>
      <c r="O1004" t="s">
        <v>2731</v>
      </c>
      <c r="P1004" t="s">
        <v>18</v>
      </c>
    </row>
    <row r="1005" spans="1:16" x14ac:dyDescent="0.35">
      <c r="A1005">
        <v>5878464</v>
      </c>
      <c r="B1005" t="s">
        <v>5457</v>
      </c>
      <c r="C1005" t="str">
        <f>"9780128179451"</f>
        <v>9780128179451</v>
      </c>
      <c r="D1005" t="str">
        <f>"9780128179468"</f>
        <v>9780128179468</v>
      </c>
      <c r="E1005" t="s">
        <v>1699</v>
      </c>
      <c r="F1005" t="s">
        <v>1699</v>
      </c>
      <c r="G1005" s="1">
        <v>43697</v>
      </c>
      <c r="H1005" s="1">
        <v>43700</v>
      </c>
      <c r="K1005" t="s">
        <v>5458</v>
      </c>
      <c r="L1005" t="s">
        <v>172</v>
      </c>
      <c r="M1005" t="s">
        <v>5459</v>
      </c>
      <c r="N1005">
        <v>577.70000000000005</v>
      </c>
      <c r="O1005" t="s">
        <v>5460</v>
      </c>
      <c r="P1005" t="s">
        <v>18</v>
      </c>
    </row>
    <row r="1006" spans="1:16" x14ac:dyDescent="0.35">
      <c r="A1006">
        <v>5851620</v>
      </c>
      <c r="B1006" t="s">
        <v>5461</v>
      </c>
      <c r="C1006" t="str">
        <f>"9781527537590"</f>
        <v>9781527537590</v>
      </c>
      <c r="D1006" t="str">
        <f>"9781527538375"</f>
        <v>9781527538375</v>
      </c>
      <c r="E1006" t="s">
        <v>1662</v>
      </c>
      <c r="F1006" t="s">
        <v>1662</v>
      </c>
      <c r="G1006" s="1">
        <v>43692</v>
      </c>
      <c r="H1006" s="1">
        <v>43694</v>
      </c>
      <c r="K1006" t="s">
        <v>5462</v>
      </c>
      <c r="L1006" t="s">
        <v>26</v>
      </c>
      <c r="M1006" t="s">
        <v>5463</v>
      </c>
      <c r="N1006">
        <v>338.92700000000002</v>
      </c>
      <c r="O1006" t="s">
        <v>503</v>
      </c>
      <c r="P1006" t="s">
        <v>18</v>
      </c>
    </row>
    <row r="1007" spans="1:16" x14ac:dyDescent="0.35">
      <c r="A1007">
        <v>5900259</v>
      </c>
      <c r="B1007" t="s">
        <v>5464</v>
      </c>
      <c r="C1007" t="str">
        <f>"9781786992581"</f>
        <v>9781786992581</v>
      </c>
      <c r="D1007" t="str">
        <f>"9781786992604"</f>
        <v>9781786992604</v>
      </c>
      <c r="E1007" t="s">
        <v>392</v>
      </c>
      <c r="F1007" t="s">
        <v>393</v>
      </c>
      <c r="G1007" s="1">
        <v>43692</v>
      </c>
      <c r="H1007" s="1">
        <v>43733</v>
      </c>
      <c r="I1007">
        <v>1</v>
      </c>
      <c r="K1007" t="s">
        <v>5465</v>
      </c>
      <c r="L1007" t="s">
        <v>41</v>
      </c>
      <c r="M1007" t="s">
        <v>5466</v>
      </c>
      <c r="N1007" t="s">
        <v>128</v>
      </c>
      <c r="O1007" t="s">
        <v>503</v>
      </c>
      <c r="P1007" t="s">
        <v>18</v>
      </c>
    </row>
    <row r="1008" spans="1:16" x14ac:dyDescent="0.35">
      <c r="A1008">
        <v>5848612</v>
      </c>
      <c r="B1008" t="s">
        <v>5467</v>
      </c>
      <c r="C1008" t="str">
        <f>"9781527537101"</f>
        <v>9781527537101</v>
      </c>
      <c r="D1008" t="str">
        <f>"9781527538061"</f>
        <v>9781527538061</v>
      </c>
      <c r="E1008" t="s">
        <v>1662</v>
      </c>
      <c r="F1008" t="s">
        <v>1662</v>
      </c>
      <c r="G1008" s="1">
        <v>43690</v>
      </c>
      <c r="H1008" s="1">
        <v>43687</v>
      </c>
      <c r="K1008" t="s">
        <v>5468</v>
      </c>
      <c r="L1008" t="s">
        <v>202</v>
      </c>
      <c r="M1008" t="s">
        <v>5469</v>
      </c>
      <c r="N1008">
        <v>333.73095610000001</v>
      </c>
      <c r="O1008" t="s">
        <v>5470</v>
      </c>
      <c r="P1008" t="s">
        <v>18</v>
      </c>
    </row>
    <row r="1009" spans="1:16" x14ac:dyDescent="0.35">
      <c r="A1009">
        <v>5849504</v>
      </c>
      <c r="B1009" t="s">
        <v>5471</v>
      </c>
      <c r="C1009" t="str">
        <f>"9780444638762"</f>
        <v>9780444638762</v>
      </c>
      <c r="D1009" t="str">
        <f>"9780444638861"</f>
        <v>9780444638861</v>
      </c>
      <c r="E1009" t="s">
        <v>1699</v>
      </c>
      <c r="F1009" t="s">
        <v>1699</v>
      </c>
      <c r="G1009" s="1">
        <v>43686</v>
      </c>
      <c r="H1009" s="1">
        <v>43689</v>
      </c>
      <c r="K1009" t="s">
        <v>5472</v>
      </c>
      <c r="L1009" t="s">
        <v>118</v>
      </c>
      <c r="M1009" t="s">
        <v>5473</v>
      </c>
      <c r="N1009">
        <v>660.28</v>
      </c>
      <c r="O1009" t="s">
        <v>2033</v>
      </c>
      <c r="P1009" t="s">
        <v>18</v>
      </c>
    </row>
    <row r="1010" spans="1:16" x14ac:dyDescent="0.35">
      <c r="A1010">
        <v>5796370</v>
      </c>
      <c r="B1010" t="s">
        <v>5474</v>
      </c>
      <c r="C1010" t="str">
        <f>"9781509925605"</f>
        <v>9781509925605</v>
      </c>
      <c r="D1010" t="str">
        <f>"9781509925629"</f>
        <v>9781509925629</v>
      </c>
      <c r="E1010" t="s">
        <v>354</v>
      </c>
      <c r="F1010" t="s">
        <v>294</v>
      </c>
      <c r="G1010" s="1">
        <v>43685</v>
      </c>
      <c r="H1010" s="1">
        <v>43639</v>
      </c>
      <c r="J1010" t="s">
        <v>501</v>
      </c>
      <c r="K1010" t="s">
        <v>5475</v>
      </c>
      <c r="L1010" t="s">
        <v>23</v>
      </c>
      <c r="M1010" t="s">
        <v>5476</v>
      </c>
      <c r="N1010">
        <v>344.24045999999998</v>
      </c>
      <c r="O1010" t="s">
        <v>3580</v>
      </c>
      <c r="P1010" t="s">
        <v>18</v>
      </c>
    </row>
    <row r="1011" spans="1:16" x14ac:dyDescent="0.35">
      <c r="A1011">
        <v>5849369</v>
      </c>
      <c r="B1011" t="s">
        <v>5477</v>
      </c>
      <c r="C1011" t="str">
        <f>"9780128162293"</f>
        <v>9780128162293</v>
      </c>
      <c r="D1011" t="str">
        <f>"9780128166000"</f>
        <v>9780128166000</v>
      </c>
      <c r="E1011" t="s">
        <v>190</v>
      </c>
      <c r="F1011" t="s">
        <v>191</v>
      </c>
      <c r="G1011" s="1">
        <v>43685</v>
      </c>
      <c r="H1011" s="1">
        <v>43688</v>
      </c>
      <c r="K1011" t="s">
        <v>5478</v>
      </c>
      <c r="L1011" t="s">
        <v>358</v>
      </c>
      <c r="M1011" t="s">
        <v>5479</v>
      </c>
      <c r="N1011" t="s">
        <v>420</v>
      </c>
      <c r="O1011" t="s">
        <v>5480</v>
      </c>
      <c r="P1011" t="s">
        <v>18</v>
      </c>
    </row>
    <row r="1012" spans="1:16" x14ac:dyDescent="0.35">
      <c r="A1012">
        <v>5896121</v>
      </c>
      <c r="B1012" t="s">
        <v>5481</v>
      </c>
      <c r="C1012" t="str">
        <f>"9781789241648"</f>
        <v>9781789241648</v>
      </c>
      <c r="D1012" t="str">
        <f>"9781789241662"</f>
        <v>9781789241662</v>
      </c>
      <c r="E1012" t="s">
        <v>333</v>
      </c>
      <c r="F1012" t="s">
        <v>333</v>
      </c>
      <c r="G1012" s="1">
        <v>43685</v>
      </c>
      <c r="H1012" s="1">
        <v>43721</v>
      </c>
      <c r="K1012" t="s">
        <v>5482</v>
      </c>
      <c r="L1012" t="s">
        <v>233</v>
      </c>
      <c r="M1012" t="s">
        <v>5483</v>
      </c>
      <c r="N1012">
        <v>362.1</v>
      </c>
      <c r="O1012" t="s">
        <v>5484</v>
      </c>
      <c r="P1012" t="s">
        <v>18</v>
      </c>
    </row>
    <row r="1013" spans="1:16" x14ac:dyDescent="0.35">
      <c r="A1013">
        <v>5843071</v>
      </c>
      <c r="B1013" t="s">
        <v>5485</v>
      </c>
      <c r="C1013" t="str">
        <f>"9781522596158"</f>
        <v>9781522596158</v>
      </c>
      <c r="D1013" t="str">
        <f>"9781522596165"</f>
        <v>9781522596165</v>
      </c>
      <c r="E1013" t="s">
        <v>138</v>
      </c>
      <c r="F1013" t="s">
        <v>1769</v>
      </c>
      <c r="G1013" s="1">
        <v>43679</v>
      </c>
      <c r="H1013" s="1">
        <v>43678</v>
      </c>
      <c r="K1013" t="s">
        <v>1999</v>
      </c>
      <c r="L1013" t="s">
        <v>28</v>
      </c>
      <c r="M1013" t="s">
        <v>5486</v>
      </c>
      <c r="N1013">
        <v>658.40800000000002</v>
      </c>
      <c r="O1013" t="s">
        <v>5487</v>
      </c>
      <c r="P1013" t="s">
        <v>18</v>
      </c>
    </row>
    <row r="1014" spans="1:16" x14ac:dyDescent="0.35">
      <c r="A1014">
        <v>5848556</v>
      </c>
      <c r="B1014" t="s">
        <v>5488</v>
      </c>
      <c r="C1014" t="str">
        <f>"9781799801252"</f>
        <v>9781799801252</v>
      </c>
      <c r="D1014" t="str">
        <f>"9781799801276"</f>
        <v>9781799801276</v>
      </c>
      <c r="E1014" t="s">
        <v>138</v>
      </c>
      <c r="F1014" t="s">
        <v>1764</v>
      </c>
      <c r="G1014" s="1">
        <v>43679</v>
      </c>
      <c r="H1014" s="1">
        <v>43687</v>
      </c>
      <c r="K1014" t="s">
        <v>5489</v>
      </c>
      <c r="L1014" t="s">
        <v>233</v>
      </c>
      <c r="M1014" t="s">
        <v>5490</v>
      </c>
      <c r="N1014">
        <v>363.85610000000003</v>
      </c>
      <c r="O1014" t="s">
        <v>5491</v>
      </c>
      <c r="P1014" t="s">
        <v>18</v>
      </c>
    </row>
    <row r="1015" spans="1:16" x14ac:dyDescent="0.35">
      <c r="A1015">
        <v>5845886</v>
      </c>
      <c r="B1015" t="s">
        <v>5492</v>
      </c>
      <c r="C1015" t="str">
        <f>"9780128176146"</f>
        <v>9780128176146</v>
      </c>
      <c r="D1015" t="str">
        <f>"9780128176153"</f>
        <v>9780128176153</v>
      </c>
      <c r="E1015" t="s">
        <v>190</v>
      </c>
      <c r="F1015" t="s">
        <v>191</v>
      </c>
      <c r="G1015" s="1">
        <v>43678</v>
      </c>
      <c r="H1015" s="1">
        <v>43682</v>
      </c>
      <c r="K1015" t="s">
        <v>5493</v>
      </c>
      <c r="L1015" t="s">
        <v>402</v>
      </c>
      <c r="M1015" t="s">
        <v>5494</v>
      </c>
      <c r="N1015">
        <v>581.72789999999998</v>
      </c>
      <c r="O1015" t="s">
        <v>5495</v>
      </c>
      <c r="P1015" t="s">
        <v>18</v>
      </c>
    </row>
    <row r="1016" spans="1:16" x14ac:dyDescent="0.35">
      <c r="A1016">
        <v>5846071</v>
      </c>
      <c r="B1016" t="s">
        <v>5496</v>
      </c>
      <c r="C1016" t="str">
        <f>"9780128152676"</f>
        <v>9780128152676</v>
      </c>
      <c r="D1016" t="str">
        <f>"9780128152683"</f>
        <v>9780128152683</v>
      </c>
      <c r="E1016" t="s">
        <v>190</v>
      </c>
      <c r="F1016" t="s">
        <v>191</v>
      </c>
      <c r="G1016" s="1">
        <v>43678</v>
      </c>
      <c r="H1016" s="1">
        <v>43683</v>
      </c>
      <c r="J1016" t="s">
        <v>5497</v>
      </c>
      <c r="K1016" t="s">
        <v>5498</v>
      </c>
      <c r="L1016" t="s">
        <v>26</v>
      </c>
      <c r="M1016" t="s">
        <v>5499</v>
      </c>
      <c r="N1016">
        <v>338.92700000000002</v>
      </c>
      <c r="O1016" t="s">
        <v>503</v>
      </c>
      <c r="P1016" t="s">
        <v>18</v>
      </c>
    </row>
    <row r="1017" spans="1:16" x14ac:dyDescent="0.35">
      <c r="A1017">
        <v>5797447</v>
      </c>
      <c r="B1017" t="s">
        <v>5500</v>
      </c>
      <c r="C1017" t="str">
        <f>"9781641433136"</f>
        <v>9781641433136</v>
      </c>
      <c r="D1017" t="str">
        <f>"9781641433143"</f>
        <v>9781641433143</v>
      </c>
      <c r="E1017" t="s">
        <v>521</v>
      </c>
      <c r="F1017" t="s">
        <v>521</v>
      </c>
      <c r="G1017" s="1">
        <v>43677</v>
      </c>
      <c r="H1017" s="1">
        <v>43643</v>
      </c>
      <c r="I1017">
        <v>3</v>
      </c>
      <c r="K1017" t="s">
        <v>5501</v>
      </c>
      <c r="L1017" t="s">
        <v>104</v>
      </c>
      <c r="N1017">
        <v>628.54999999999995</v>
      </c>
      <c r="P1017" t="s">
        <v>18</v>
      </c>
    </row>
    <row r="1018" spans="1:16" x14ac:dyDescent="0.35">
      <c r="A1018">
        <v>5843098</v>
      </c>
      <c r="B1018" t="s">
        <v>5502</v>
      </c>
      <c r="C1018" t="str">
        <f>"9780128191422"</f>
        <v>9780128191422</v>
      </c>
      <c r="D1018" t="str">
        <f>"9780128191439"</f>
        <v>9780128191439</v>
      </c>
      <c r="E1018" t="s">
        <v>1699</v>
      </c>
      <c r="F1018" t="s">
        <v>1699</v>
      </c>
      <c r="G1018" s="1">
        <v>43676</v>
      </c>
      <c r="H1018" s="1">
        <v>43678</v>
      </c>
      <c r="K1018" t="s">
        <v>5503</v>
      </c>
      <c r="L1018" t="s">
        <v>91</v>
      </c>
      <c r="M1018" t="s">
        <v>5504</v>
      </c>
      <c r="N1018">
        <v>620.5</v>
      </c>
      <c r="O1018" t="s">
        <v>5505</v>
      </c>
      <c r="P1018" t="s">
        <v>18</v>
      </c>
    </row>
    <row r="1019" spans="1:16" x14ac:dyDescent="0.35">
      <c r="A1019">
        <v>5799421</v>
      </c>
      <c r="B1019" t="s">
        <v>5506</v>
      </c>
      <c r="C1019" t="str">
        <f>"9781522595588"</f>
        <v>9781522595588</v>
      </c>
      <c r="D1019" t="str">
        <f>"9781522595601"</f>
        <v>9781522595601</v>
      </c>
      <c r="E1019" t="s">
        <v>138</v>
      </c>
      <c r="F1019" t="s">
        <v>1769</v>
      </c>
      <c r="G1019" s="1">
        <v>43672</v>
      </c>
      <c r="H1019" s="1">
        <v>43644</v>
      </c>
      <c r="K1019" t="s">
        <v>5507</v>
      </c>
      <c r="L1019" t="s">
        <v>28</v>
      </c>
      <c r="M1019" t="s">
        <v>5508</v>
      </c>
      <c r="N1019" t="s">
        <v>365</v>
      </c>
      <c r="O1019" t="s">
        <v>5509</v>
      </c>
      <c r="P1019" t="s">
        <v>18</v>
      </c>
    </row>
    <row r="1020" spans="1:16" x14ac:dyDescent="0.35">
      <c r="A1020">
        <v>5799436</v>
      </c>
      <c r="B1020" t="s">
        <v>5510</v>
      </c>
      <c r="C1020" t="str">
        <f>"9781522585596"</f>
        <v>9781522585596</v>
      </c>
      <c r="D1020" t="str">
        <f>"9781522585619"</f>
        <v>9781522585619</v>
      </c>
      <c r="E1020" t="s">
        <v>138</v>
      </c>
      <c r="F1020" t="s">
        <v>1764</v>
      </c>
      <c r="G1020" s="1">
        <v>43672</v>
      </c>
      <c r="H1020" s="1">
        <v>43644</v>
      </c>
      <c r="K1020" t="s">
        <v>5511</v>
      </c>
      <c r="L1020" t="s">
        <v>5512</v>
      </c>
      <c r="M1020" t="s">
        <v>5513</v>
      </c>
      <c r="N1020" t="s">
        <v>423</v>
      </c>
      <c r="O1020" t="s">
        <v>5514</v>
      </c>
      <c r="P1020" t="s">
        <v>18</v>
      </c>
    </row>
    <row r="1021" spans="1:16" x14ac:dyDescent="0.35">
      <c r="A1021">
        <v>5806847</v>
      </c>
      <c r="B1021" t="s">
        <v>5515</v>
      </c>
      <c r="C1021" t="str">
        <f>"9781538120101"</f>
        <v>9781538120101</v>
      </c>
      <c r="D1021" t="str">
        <f>"9781538135440"</f>
        <v>9781538135440</v>
      </c>
      <c r="E1021" t="s">
        <v>443</v>
      </c>
      <c r="F1021" t="s">
        <v>443</v>
      </c>
      <c r="G1021" s="1">
        <v>43672</v>
      </c>
      <c r="H1021" s="1">
        <v>43648</v>
      </c>
      <c r="K1021" t="s">
        <v>5516</v>
      </c>
      <c r="L1021" t="s">
        <v>516</v>
      </c>
      <c r="P1021" t="s">
        <v>18</v>
      </c>
    </row>
    <row r="1022" spans="1:16" x14ac:dyDescent="0.35">
      <c r="A1022">
        <v>5820900</v>
      </c>
      <c r="B1022" t="s">
        <v>5517</v>
      </c>
      <c r="C1022" t="str">
        <f>"9781788976169"</f>
        <v>9781788976169</v>
      </c>
      <c r="D1022" t="str">
        <f>"9781788976176"</f>
        <v>9781788976176</v>
      </c>
      <c r="E1022" t="s">
        <v>2080</v>
      </c>
      <c r="F1022" t="s">
        <v>2080</v>
      </c>
      <c r="G1022" s="1">
        <v>43672</v>
      </c>
      <c r="H1022" s="1">
        <v>43658</v>
      </c>
      <c r="J1022" t="s">
        <v>5249</v>
      </c>
      <c r="K1022" t="s">
        <v>5518</v>
      </c>
      <c r="L1022" t="s">
        <v>205</v>
      </c>
      <c r="M1022" t="s">
        <v>5519</v>
      </c>
      <c r="N1022">
        <v>344.04599999999999</v>
      </c>
      <c r="O1022" t="s">
        <v>712</v>
      </c>
      <c r="P1022" t="s">
        <v>18</v>
      </c>
    </row>
    <row r="1023" spans="1:16" x14ac:dyDescent="0.35">
      <c r="A1023">
        <v>5820903</v>
      </c>
      <c r="B1023" t="s">
        <v>5520</v>
      </c>
      <c r="C1023" t="str">
        <f>"9781786437402"</f>
        <v>9781786437402</v>
      </c>
      <c r="D1023" t="str">
        <f>"9781786437419"</f>
        <v>9781786437419</v>
      </c>
      <c r="E1023" t="s">
        <v>2080</v>
      </c>
      <c r="F1023" t="s">
        <v>2080</v>
      </c>
      <c r="G1023" s="1">
        <v>43672</v>
      </c>
      <c r="H1023" s="1">
        <v>43658</v>
      </c>
      <c r="K1023" t="s">
        <v>5521</v>
      </c>
      <c r="L1023" t="s">
        <v>5522</v>
      </c>
      <c r="M1023" t="s">
        <v>5523</v>
      </c>
      <c r="N1023">
        <v>344.54960460000001</v>
      </c>
      <c r="O1023" t="s">
        <v>5524</v>
      </c>
      <c r="P1023" t="s">
        <v>18</v>
      </c>
    </row>
    <row r="1024" spans="1:16" x14ac:dyDescent="0.35">
      <c r="A1024">
        <v>5820912</v>
      </c>
      <c r="B1024" t="s">
        <v>5525</v>
      </c>
      <c r="C1024" t="str">
        <f>"9781788110679"</f>
        <v>9781788110679</v>
      </c>
      <c r="D1024" t="str">
        <f>"9781788110686"</f>
        <v>9781788110686</v>
      </c>
      <c r="E1024" t="s">
        <v>2080</v>
      </c>
      <c r="F1024" t="s">
        <v>2080</v>
      </c>
      <c r="G1024" s="1">
        <v>43672</v>
      </c>
      <c r="H1024" s="1">
        <v>43658</v>
      </c>
      <c r="K1024" t="s">
        <v>5526</v>
      </c>
      <c r="L1024" t="s">
        <v>368</v>
      </c>
      <c r="M1024" t="s">
        <v>5527</v>
      </c>
      <c r="N1024">
        <v>333.7</v>
      </c>
      <c r="O1024" t="s">
        <v>5528</v>
      </c>
      <c r="P1024" t="s">
        <v>18</v>
      </c>
    </row>
    <row r="1025" spans="1:16" x14ac:dyDescent="0.35">
      <c r="A1025">
        <v>5820915</v>
      </c>
      <c r="B1025" t="s">
        <v>5529</v>
      </c>
      <c r="C1025" t="str">
        <f>"9781788975193"</f>
        <v>9781788975193</v>
      </c>
      <c r="D1025" t="str">
        <f>"9781788975209"</f>
        <v>9781788975209</v>
      </c>
      <c r="E1025" t="s">
        <v>2080</v>
      </c>
      <c r="F1025" t="s">
        <v>2080</v>
      </c>
      <c r="G1025" s="1">
        <v>43672</v>
      </c>
      <c r="H1025" s="1">
        <v>43658</v>
      </c>
      <c r="K1025" t="s">
        <v>5530</v>
      </c>
      <c r="L1025" t="s">
        <v>41</v>
      </c>
      <c r="M1025" t="s">
        <v>5531</v>
      </c>
      <c r="N1025">
        <v>338.92700000000002</v>
      </c>
      <c r="O1025" t="s">
        <v>503</v>
      </c>
      <c r="P1025" t="s">
        <v>18</v>
      </c>
    </row>
    <row r="1026" spans="1:16" x14ac:dyDescent="0.35">
      <c r="A1026">
        <v>5841050</v>
      </c>
      <c r="B1026" t="s">
        <v>5532</v>
      </c>
      <c r="C1026" t="str">
        <f>"9780128180402"</f>
        <v>9780128180402</v>
      </c>
      <c r="D1026" t="str">
        <f>"9780128182390"</f>
        <v>9780128182390</v>
      </c>
      <c r="E1026" t="s">
        <v>190</v>
      </c>
      <c r="F1026" t="s">
        <v>191</v>
      </c>
      <c r="G1026" s="1">
        <v>43671</v>
      </c>
      <c r="H1026" s="1">
        <v>43674</v>
      </c>
      <c r="K1026" t="s">
        <v>5533</v>
      </c>
      <c r="L1026" t="s">
        <v>168</v>
      </c>
      <c r="M1026" t="s">
        <v>5534</v>
      </c>
      <c r="N1026" t="s">
        <v>5535</v>
      </c>
      <c r="O1026" t="s">
        <v>5536</v>
      </c>
      <c r="P1026" t="s">
        <v>18</v>
      </c>
    </row>
    <row r="1027" spans="1:16" x14ac:dyDescent="0.35">
      <c r="A1027">
        <v>5836945</v>
      </c>
      <c r="B1027" t="s">
        <v>5537</v>
      </c>
      <c r="C1027" t="str">
        <f>"9780128174180"</f>
        <v>9780128174180</v>
      </c>
      <c r="D1027" t="str">
        <f>"9780128174197"</f>
        <v>9780128174197</v>
      </c>
      <c r="E1027" t="s">
        <v>1699</v>
      </c>
      <c r="F1027" t="s">
        <v>1699</v>
      </c>
      <c r="G1027" s="1">
        <v>43666</v>
      </c>
      <c r="H1027" s="1">
        <v>43670</v>
      </c>
      <c r="K1027" t="s">
        <v>5538</v>
      </c>
      <c r="L1027" t="s">
        <v>406</v>
      </c>
      <c r="M1027" t="s">
        <v>5539</v>
      </c>
      <c r="N1027">
        <v>660.02859999999998</v>
      </c>
      <c r="O1027" t="s">
        <v>5540</v>
      </c>
      <c r="P1027" t="s">
        <v>18</v>
      </c>
    </row>
    <row r="1028" spans="1:16" x14ac:dyDescent="0.35">
      <c r="A1028">
        <v>5808888</v>
      </c>
      <c r="B1028" t="s">
        <v>5541</v>
      </c>
      <c r="C1028" t="str">
        <f>"9783035714593"</f>
        <v>9783035714593</v>
      </c>
      <c r="D1028" t="str">
        <f>"9783035734591"</f>
        <v>9783035734591</v>
      </c>
      <c r="E1028" t="s">
        <v>1649</v>
      </c>
      <c r="F1028" t="s">
        <v>1649</v>
      </c>
      <c r="G1028" s="1">
        <v>43665</v>
      </c>
      <c r="H1028" s="1">
        <v>43652</v>
      </c>
      <c r="I1028">
        <v>1</v>
      </c>
      <c r="J1028" t="s">
        <v>5542</v>
      </c>
      <c r="K1028" t="s">
        <v>5543</v>
      </c>
      <c r="L1028" t="s">
        <v>93</v>
      </c>
      <c r="P1028" t="s">
        <v>18</v>
      </c>
    </row>
    <row r="1029" spans="1:16" x14ac:dyDescent="0.35">
      <c r="A1029">
        <v>5835671</v>
      </c>
      <c r="B1029" t="s">
        <v>5544</v>
      </c>
      <c r="C1029" t="str">
        <f>"9780444642004"</f>
        <v>9780444642004</v>
      </c>
      <c r="D1029" t="str">
        <f>"9780444642837"</f>
        <v>9780444642837</v>
      </c>
      <c r="E1029" t="s">
        <v>1699</v>
      </c>
      <c r="F1029" t="s">
        <v>1699</v>
      </c>
      <c r="G1029" s="1">
        <v>43665</v>
      </c>
      <c r="H1029" s="1">
        <v>43668</v>
      </c>
      <c r="K1029" t="s">
        <v>5545</v>
      </c>
      <c r="L1029" t="s">
        <v>113</v>
      </c>
      <c r="M1029" t="s">
        <v>5546</v>
      </c>
      <c r="N1029">
        <v>628.4</v>
      </c>
      <c r="O1029" t="s">
        <v>5547</v>
      </c>
      <c r="P1029" t="s">
        <v>18</v>
      </c>
    </row>
    <row r="1030" spans="1:16" x14ac:dyDescent="0.35">
      <c r="A1030">
        <v>5837773</v>
      </c>
      <c r="B1030" t="s">
        <v>5548</v>
      </c>
      <c r="C1030" t="str">
        <f>"9780128182581"</f>
        <v>9780128182581</v>
      </c>
      <c r="D1030" t="str">
        <f>"9780128182598"</f>
        <v>9780128182598</v>
      </c>
      <c r="E1030" t="s">
        <v>1699</v>
      </c>
      <c r="F1030" t="s">
        <v>1699</v>
      </c>
      <c r="G1030" s="1">
        <v>43665</v>
      </c>
      <c r="H1030" s="1">
        <v>43671</v>
      </c>
      <c r="K1030" t="s">
        <v>5549</v>
      </c>
      <c r="L1030" t="s">
        <v>76</v>
      </c>
      <c r="M1030" t="s">
        <v>5550</v>
      </c>
      <c r="N1030" t="s">
        <v>459</v>
      </c>
      <c r="O1030" t="s">
        <v>2238</v>
      </c>
      <c r="P1030" t="s">
        <v>18</v>
      </c>
    </row>
    <row r="1031" spans="1:16" x14ac:dyDescent="0.35">
      <c r="A1031">
        <v>5829868</v>
      </c>
      <c r="B1031" t="s">
        <v>5551</v>
      </c>
      <c r="C1031" t="str">
        <f>"9780081021583"</f>
        <v>9780081021583</v>
      </c>
      <c r="D1031" t="str">
        <f>"9780081021590"</f>
        <v>9780081021590</v>
      </c>
      <c r="E1031" t="s">
        <v>190</v>
      </c>
      <c r="F1031" t="s">
        <v>280</v>
      </c>
      <c r="G1031" s="1">
        <v>43662</v>
      </c>
      <c r="H1031" s="1">
        <v>43665</v>
      </c>
      <c r="I1031">
        <v>2</v>
      </c>
      <c r="J1031" t="s">
        <v>490</v>
      </c>
      <c r="K1031" t="s">
        <v>5552</v>
      </c>
      <c r="L1031" t="s">
        <v>5553</v>
      </c>
      <c r="M1031" t="s">
        <v>5554</v>
      </c>
      <c r="N1031">
        <v>621.38102860000004</v>
      </c>
      <c r="O1031" t="s">
        <v>5555</v>
      </c>
      <c r="P1031" t="s">
        <v>18</v>
      </c>
    </row>
    <row r="1032" spans="1:16" x14ac:dyDescent="0.35">
      <c r="A1032">
        <v>5797532</v>
      </c>
      <c r="B1032" t="s">
        <v>5556</v>
      </c>
      <c r="C1032" t="str">
        <f>"9781498599160"</f>
        <v>9781498599160</v>
      </c>
      <c r="D1032" t="str">
        <f>"9781498599177"</f>
        <v>9781498599177</v>
      </c>
      <c r="E1032" t="s">
        <v>446</v>
      </c>
      <c r="F1032" t="s">
        <v>446</v>
      </c>
      <c r="G1032" s="1">
        <v>43661</v>
      </c>
      <c r="H1032" s="1">
        <v>43643</v>
      </c>
      <c r="J1032" t="s">
        <v>5557</v>
      </c>
      <c r="K1032" t="s">
        <v>5558</v>
      </c>
      <c r="L1032" t="s">
        <v>24</v>
      </c>
      <c r="M1032" t="s">
        <v>5559</v>
      </c>
      <c r="N1032">
        <v>809.93359999999996</v>
      </c>
      <c r="O1032" t="s">
        <v>3520</v>
      </c>
      <c r="P1032" t="s">
        <v>18</v>
      </c>
    </row>
    <row r="1033" spans="1:16" x14ac:dyDescent="0.35">
      <c r="A1033">
        <v>5794308</v>
      </c>
      <c r="B1033" t="s">
        <v>5560</v>
      </c>
      <c r="C1033" t="str">
        <f>"9781789202984"</f>
        <v>9781789202984</v>
      </c>
      <c r="D1033" t="str">
        <f>"9781789202991"</f>
        <v>9781789202991</v>
      </c>
      <c r="E1033" t="s">
        <v>447</v>
      </c>
      <c r="F1033" t="s">
        <v>447</v>
      </c>
      <c r="G1033" s="1">
        <v>43658</v>
      </c>
      <c r="H1033" s="1">
        <v>43638</v>
      </c>
      <c r="I1033">
        <v>1</v>
      </c>
      <c r="J1033" t="s">
        <v>4594</v>
      </c>
      <c r="K1033" t="s">
        <v>5561</v>
      </c>
      <c r="L1033" t="s">
        <v>5562</v>
      </c>
      <c r="M1033" t="s">
        <v>5563</v>
      </c>
      <c r="N1033">
        <v>333.72060099999999</v>
      </c>
      <c r="P1033" t="s">
        <v>18</v>
      </c>
    </row>
    <row r="1034" spans="1:16" x14ac:dyDescent="0.35">
      <c r="A1034">
        <v>5797508</v>
      </c>
      <c r="B1034" t="s">
        <v>5564</v>
      </c>
      <c r="C1034" t="str">
        <f>"9781498586672"</f>
        <v>9781498586672</v>
      </c>
      <c r="D1034" t="str">
        <f>"9781498586689"</f>
        <v>9781498586689</v>
      </c>
      <c r="E1034" t="s">
        <v>445</v>
      </c>
      <c r="F1034" t="s">
        <v>445</v>
      </c>
      <c r="G1034" s="1">
        <v>43658</v>
      </c>
      <c r="H1034" s="1">
        <v>43643</v>
      </c>
      <c r="K1034" t="s">
        <v>5565</v>
      </c>
      <c r="L1034" t="s">
        <v>5566</v>
      </c>
      <c r="M1034" t="s">
        <v>5567</v>
      </c>
      <c r="N1034">
        <v>174.96279999999999</v>
      </c>
      <c r="O1034" t="s">
        <v>5568</v>
      </c>
      <c r="P1034" t="s">
        <v>18</v>
      </c>
    </row>
    <row r="1035" spans="1:16" x14ac:dyDescent="0.35">
      <c r="A1035">
        <v>5790052</v>
      </c>
      <c r="B1035" t="s">
        <v>5569</v>
      </c>
      <c r="C1035" t="str">
        <f>"9781522597544"</f>
        <v>9781522597544</v>
      </c>
      <c r="D1035" t="str">
        <f>"9781522597568"</f>
        <v>9781522597568</v>
      </c>
      <c r="E1035" t="s">
        <v>138</v>
      </c>
      <c r="F1035" t="s">
        <v>1764</v>
      </c>
      <c r="G1035" s="1">
        <v>43651</v>
      </c>
      <c r="H1035" s="1">
        <v>43634</v>
      </c>
      <c r="K1035" t="s">
        <v>5570</v>
      </c>
      <c r="L1035" t="s">
        <v>84</v>
      </c>
      <c r="M1035" t="s">
        <v>5571</v>
      </c>
      <c r="N1035">
        <v>696</v>
      </c>
      <c r="O1035" t="s">
        <v>5572</v>
      </c>
      <c r="P1035" t="s">
        <v>18</v>
      </c>
    </row>
    <row r="1036" spans="1:16" x14ac:dyDescent="0.35">
      <c r="A1036">
        <v>5790061</v>
      </c>
      <c r="B1036" t="s">
        <v>5573</v>
      </c>
      <c r="C1036" t="str">
        <f>"9781522592761"</f>
        <v>9781522592761</v>
      </c>
      <c r="D1036" t="str">
        <f>"9781522592778"</f>
        <v>9781522592778</v>
      </c>
      <c r="E1036" t="s">
        <v>138</v>
      </c>
      <c r="F1036" t="s">
        <v>1764</v>
      </c>
      <c r="G1036" s="1">
        <v>43651</v>
      </c>
      <c r="H1036" s="1">
        <v>43634</v>
      </c>
      <c r="K1036" t="s">
        <v>1999</v>
      </c>
      <c r="L1036" t="s">
        <v>38</v>
      </c>
      <c r="M1036" t="s">
        <v>5574</v>
      </c>
      <c r="N1036">
        <v>307.76</v>
      </c>
      <c r="O1036" t="s">
        <v>5575</v>
      </c>
      <c r="P1036" t="s">
        <v>18</v>
      </c>
    </row>
    <row r="1037" spans="1:16" x14ac:dyDescent="0.35">
      <c r="A1037">
        <v>5797513</v>
      </c>
      <c r="B1037" t="s">
        <v>5576</v>
      </c>
      <c r="C1037" t="str">
        <f>"9781793606129"</f>
        <v>9781793606129</v>
      </c>
      <c r="D1037" t="str">
        <f>"9781793606136"</f>
        <v>9781793606136</v>
      </c>
      <c r="E1037" t="s">
        <v>446</v>
      </c>
      <c r="F1037" t="s">
        <v>446</v>
      </c>
      <c r="G1037" s="1">
        <v>43651</v>
      </c>
      <c r="H1037" s="1">
        <v>43643</v>
      </c>
      <c r="J1037" t="s">
        <v>5577</v>
      </c>
      <c r="K1037" t="s">
        <v>5578</v>
      </c>
      <c r="L1037" t="s">
        <v>199</v>
      </c>
      <c r="M1037" t="s">
        <v>5579</v>
      </c>
      <c r="N1037">
        <v>333.72095125090402</v>
      </c>
      <c r="O1037" t="s">
        <v>5580</v>
      </c>
      <c r="P1037" t="s">
        <v>18</v>
      </c>
    </row>
    <row r="1038" spans="1:16" x14ac:dyDescent="0.35">
      <c r="A1038">
        <v>5843061</v>
      </c>
      <c r="B1038" t="s">
        <v>5581</v>
      </c>
      <c r="C1038" t="str">
        <f>"9781799801788"</f>
        <v>9781799801788</v>
      </c>
      <c r="D1038" t="str">
        <f>"9781799801801"</f>
        <v>9781799801801</v>
      </c>
      <c r="E1038" t="s">
        <v>138</v>
      </c>
      <c r="F1038" t="s">
        <v>1769</v>
      </c>
      <c r="G1038" s="1">
        <v>43651</v>
      </c>
      <c r="H1038" s="1">
        <v>43678</v>
      </c>
      <c r="K1038" t="s">
        <v>5582</v>
      </c>
      <c r="L1038" t="s">
        <v>28</v>
      </c>
      <c r="M1038" t="s">
        <v>5583</v>
      </c>
      <c r="N1038" t="s">
        <v>331</v>
      </c>
      <c r="O1038" t="s">
        <v>394</v>
      </c>
      <c r="P1038" t="s">
        <v>18</v>
      </c>
    </row>
    <row r="1039" spans="1:16" x14ac:dyDescent="0.35">
      <c r="A1039">
        <v>5802768</v>
      </c>
      <c r="B1039" t="s">
        <v>5584</v>
      </c>
      <c r="C1039" t="str">
        <f>"9780128154779"</f>
        <v>9780128154779</v>
      </c>
      <c r="D1039" t="str">
        <f>"9780128154786"</f>
        <v>9780128154786</v>
      </c>
      <c r="E1039" t="s">
        <v>1699</v>
      </c>
      <c r="F1039" t="s">
        <v>1699</v>
      </c>
      <c r="G1039" s="1">
        <v>43650</v>
      </c>
      <c r="H1039" s="1">
        <v>43646</v>
      </c>
      <c r="J1039" t="s">
        <v>3999</v>
      </c>
      <c r="K1039" t="s">
        <v>5585</v>
      </c>
      <c r="L1039" t="s">
        <v>38</v>
      </c>
      <c r="M1039" t="s">
        <v>5586</v>
      </c>
      <c r="N1039">
        <v>307.76028500000001</v>
      </c>
      <c r="O1039" t="s">
        <v>5587</v>
      </c>
      <c r="P1039" t="s">
        <v>18</v>
      </c>
    </row>
    <row r="1040" spans="1:16" x14ac:dyDescent="0.35">
      <c r="A1040">
        <v>5807062</v>
      </c>
      <c r="B1040" t="s">
        <v>5588</v>
      </c>
      <c r="C1040" t="str">
        <f>"9780128116609"</f>
        <v>9780128116609</v>
      </c>
      <c r="D1040" t="str">
        <f>"9780128116616"</f>
        <v>9780128116616</v>
      </c>
      <c r="E1040" t="s">
        <v>190</v>
      </c>
      <c r="F1040" t="s">
        <v>191</v>
      </c>
      <c r="G1040" s="1">
        <v>43648</v>
      </c>
      <c r="H1040" s="1">
        <v>43649</v>
      </c>
      <c r="K1040" t="s">
        <v>5589</v>
      </c>
      <c r="L1040" t="s">
        <v>112</v>
      </c>
      <c r="M1040" t="s">
        <v>5590</v>
      </c>
      <c r="N1040">
        <v>613.20000000000005</v>
      </c>
      <c r="O1040" t="s">
        <v>2670</v>
      </c>
      <c r="P1040" t="s">
        <v>18</v>
      </c>
    </row>
    <row r="1041" spans="1:16" x14ac:dyDescent="0.35">
      <c r="A1041">
        <v>5848421</v>
      </c>
      <c r="B1041" t="s">
        <v>5591</v>
      </c>
      <c r="C1041" t="str">
        <f>""</f>
        <v/>
      </c>
      <c r="D1041" t="str">
        <f>"9781522568636"</f>
        <v>9781522568636</v>
      </c>
      <c r="E1041" t="s">
        <v>138</v>
      </c>
      <c r="F1041" t="s">
        <v>138</v>
      </c>
      <c r="G1041" s="1">
        <v>43647</v>
      </c>
      <c r="H1041" s="1">
        <v>43687</v>
      </c>
      <c r="K1041" t="s">
        <v>4898</v>
      </c>
      <c r="L1041" t="s">
        <v>26</v>
      </c>
      <c r="M1041" t="s">
        <v>5592</v>
      </c>
      <c r="N1041">
        <v>338.92700000000002</v>
      </c>
      <c r="O1041" t="s">
        <v>5593</v>
      </c>
      <c r="P1041" t="s">
        <v>18</v>
      </c>
    </row>
    <row r="1042" spans="1:16" x14ac:dyDescent="0.35">
      <c r="A1042">
        <v>5848505</v>
      </c>
      <c r="B1042" t="s">
        <v>5594</v>
      </c>
      <c r="C1042" t="str">
        <f>""</f>
        <v/>
      </c>
      <c r="D1042" t="str">
        <f>"9781522567042"</f>
        <v>9781522567042</v>
      </c>
      <c r="E1042" t="s">
        <v>138</v>
      </c>
      <c r="F1042" t="s">
        <v>138</v>
      </c>
      <c r="G1042" s="1">
        <v>43647</v>
      </c>
      <c r="H1042" s="1">
        <v>43687</v>
      </c>
      <c r="K1042" t="s">
        <v>2410</v>
      </c>
      <c r="L1042" t="s">
        <v>38</v>
      </c>
      <c r="M1042" t="s">
        <v>5344</v>
      </c>
      <c r="N1042">
        <v>305</v>
      </c>
      <c r="O1042" t="s">
        <v>3714</v>
      </c>
      <c r="P1042" t="s">
        <v>18</v>
      </c>
    </row>
    <row r="1043" spans="1:16" x14ac:dyDescent="0.35">
      <c r="A1043">
        <v>5848594</v>
      </c>
      <c r="B1043" t="s">
        <v>5595</v>
      </c>
      <c r="C1043" t="str">
        <f>""</f>
        <v/>
      </c>
      <c r="D1043" t="str">
        <f>"9781522568087"</f>
        <v>9781522568087</v>
      </c>
      <c r="E1043" t="s">
        <v>138</v>
      </c>
      <c r="F1043" t="s">
        <v>138</v>
      </c>
      <c r="G1043" s="1">
        <v>43647</v>
      </c>
      <c r="H1043" s="1">
        <v>43827</v>
      </c>
      <c r="K1043" t="s">
        <v>3292</v>
      </c>
      <c r="L1043" t="s">
        <v>26</v>
      </c>
      <c r="M1043" t="s">
        <v>5596</v>
      </c>
      <c r="N1043">
        <v>338.92700000000002</v>
      </c>
      <c r="O1043" t="s">
        <v>2322</v>
      </c>
      <c r="P1043" t="s">
        <v>18</v>
      </c>
    </row>
    <row r="1044" spans="1:16" x14ac:dyDescent="0.35">
      <c r="A1044">
        <v>5783777</v>
      </c>
      <c r="B1044" t="s">
        <v>5597</v>
      </c>
      <c r="C1044" t="str">
        <f>"9781799801634"</f>
        <v>9781799801634</v>
      </c>
      <c r="D1044" t="str">
        <f>"9781799801665"</f>
        <v>9781799801665</v>
      </c>
      <c r="E1044" t="s">
        <v>138</v>
      </c>
      <c r="F1044" t="s">
        <v>1764</v>
      </c>
      <c r="G1044" s="1">
        <v>43644</v>
      </c>
      <c r="H1044" s="1">
        <v>43620</v>
      </c>
      <c r="K1044" t="s">
        <v>5598</v>
      </c>
      <c r="L1044" t="s">
        <v>5599</v>
      </c>
      <c r="M1044" t="s">
        <v>5600</v>
      </c>
      <c r="N1044">
        <v>333.91009600000001</v>
      </c>
      <c r="O1044" t="s">
        <v>5601</v>
      </c>
      <c r="P1044" t="s">
        <v>18</v>
      </c>
    </row>
    <row r="1045" spans="1:16" x14ac:dyDescent="0.35">
      <c r="A1045">
        <v>5783787</v>
      </c>
      <c r="B1045" t="s">
        <v>5602</v>
      </c>
      <c r="C1045" t="str">
        <f>"9781522573029"</f>
        <v>9781522573029</v>
      </c>
      <c r="D1045" t="str">
        <f>"9781522573043"</f>
        <v>9781522573043</v>
      </c>
      <c r="E1045" t="s">
        <v>138</v>
      </c>
      <c r="F1045" t="s">
        <v>1764</v>
      </c>
      <c r="G1045" s="1">
        <v>43644</v>
      </c>
      <c r="H1045" s="1">
        <v>43620</v>
      </c>
      <c r="K1045" t="s">
        <v>5603</v>
      </c>
      <c r="L1045" t="s">
        <v>49</v>
      </c>
      <c r="M1045" t="s">
        <v>5604</v>
      </c>
      <c r="N1045">
        <v>304.2072</v>
      </c>
      <c r="O1045" t="s">
        <v>5605</v>
      </c>
      <c r="P1045" t="s">
        <v>18</v>
      </c>
    </row>
    <row r="1046" spans="1:16" x14ac:dyDescent="0.35">
      <c r="A1046">
        <v>5790808</v>
      </c>
      <c r="B1046" t="s">
        <v>5606</v>
      </c>
      <c r="C1046" t="str">
        <f>"9781788971706"</f>
        <v>9781788971706</v>
      </c>
      <c r="D1046" t="str">
        <f>"9781788971713"</f>
        <v>9781788971713</v>
      </c>
      <c r="E1046" t="s">
        <v>2080</v>
      </c>
      <c r="F1046" t="s">
        <v>2080</v>
      </c>
      <c r="G1046" s="1">
        <v>43644</v>
      </c>
      <c r="H1046" s="1">
        <v>43636</v>
      </c>
      <c r="J1046" t="s">
        <v>5607</v>
      </c>
      <c r="K1046" t="s">
        <v>5608</v>
      </c>
      <c r="L1046" t="s">
        <v>28</v>
      </c>
      <c r="M1046" t="s">
        <v>5609</v>
      </c>
      <c r="N1046">
        <v>388.4</v>
      </c>
      <c r="O1046" t="s">
        <v>5610</v>
      </c>
      <c r="P1046" t="s">
        <v>18</v>
      </c>
    </row>
    <row r="1047" spans="1:16" x14ac:dyDescent="0.35">
      <c r="A1047">
        <v>5790815</v>
      </c>
      <c r="B1047" t="s">
        <v>5611</v>
      </c>
      <c r="C1047" t="str">
        <f>"9781786436009"</f>
        <v>9781786436009</v>
      </c>
      <c r="D1047" t="str">
        <f>"9781786436016"</f>
        <v>9781786436016</v>
      </c>
      <c r="E1047" t="s">
        <v>2080</v>
      </c>
      <c r="F1047" t="s">
        <v>2080</v>
      </c>
      <c r="G1047" s="1">
        <v>43644</v>
      </c>
      <c r="H1047" s="1">
        <v>43636</v>
      </c>
      <c r="J1047" t="s">
        <v>2081</v>
      </c>
      <c r="K1047" t="s">
        <v>5612</v>
      </c>
      <c r="L1047" t="s">
        <v>28</v>
      </c>
      <c r="M1047" t="s">
        <v>5613</v>
      </c>
      <c r="N1047">
        <v>658.40800000000002</v>
      </c>
      <c r="O1047" t="s">
        <v>2272</v>
      </c>
      <c r="P1047" t="s">
        <v>18</v>
      </c>
    </row>
    <row r="1048" spans="1:16" x14ac:dyDescent="0.35">
      <c r="A1048">
        <v>5799430</v>
      </c>
      <c r="B1048" t="s">
        <v>5614</v>
      </c>
      <c r="C1048" t="str">
        <f>"9781522581604"</f>
        <v>9781522581604</v>
      </c>
      <c r="D1048" t="str">
        <f>"9781522581628"</f>
        <v>9781522581628</v>
      </c>
      <c r="E1048" t="s">
        <v>138</v>
      </c>
      <c r="F1048" t="s">
        <v>1789</v>
      </c>
      <c r="G1048" s="1">
        <v>43644</v>
      </c>
      <c r="H1048" s="1">
        <v>43644</v>
      </c>
      <c r="K1048" t="s">
        <v>5615</v>
      </c>
      <c r="L1048" t="s">
        <v>28</v>
      </c>
      <c r="M1048" t="s">
        <v>5616</v>
      </c>
      <c r="N1048">
        <v>388.40687000000003</v>
      </c>
      <c r="O1048" t="s">
        <v>5617</v>
      </c>
      <c r="P1048" t="s">
        <v>18</v>
      </c>
    </row>
    <row r="1049" spans="1:16" x14ac:dyDescent="0.35">
      <c r="A1049">
        <v>5843092</v>
      </c>
      <c r="B1049" t="s">
        <v>5618</v>
      </c>
      <c r="C1049" t="str">
        <f>"9781522598930"</f>
        <v>9781522598930</v>
      </c>
      <c r="D1049" t="str">
        <f>"9781522598954"</f>
        <v>9781522598954</v>
      </c>
      <c r="E1049" t="s">
        <v>138</v>
      </c>
      <c r="F1049" t="s">
        <v>1789</v>
      </c>
      <c r="G1049" s="1">
        <v>43644</v>
      </c>
      <c r="H1049" s="1">
        <v>43678</v>
      </c>
      <c r="K1049" t="s">
        <v>5619</v>
      </c>
      <c r="L1049" t="s">
        <v>37</v>
      </c>
      <c r="M1049" t="s">
        <v>5620</v>
      </c>
      <c r="N1049" t="s">
        <v>473</v>
      </c>
      <c r="O1049" t="s">
        <v>5621</v>
      </c>
      <c r="P1049" t="s">
        <v>18</v>
      </c>
    </row>
    <row r="1050" spans="1:16" x14ac:dyDescent="0.35">
      <c r="A1050">
        <v>5799305</v>
      </c>
      <c r="B1050" t="s">
        <v>5622</v>
      </c>
      <c r="C1050" t="str">
        <f>"9780128170045"</f>
        <v>9780128170045</v>
      </c>
      <c r="D1050" t="str">
        <f>"9780128170052"</f>
        <v>9780128170052</v>
      </c>
      <c r="E1050" t="s">
        <v>190</v>
      </c>
      <c r="F1050" t="s">
        <v>280</v>
      </c>
      <c r="G1050" s="1">
        <v>43643</v>
      </c>
      <c r="H1050" s="1">
        <v>43644</v>
      </c>
      <c r="K1050" t="s">
        <v>5623</v>
      </c>
      <c r="L1050" t="s">
        <v>144</v>
      </c>
      <c r="M1050" t="s">
        <v>5624</v>
      </c>
      <c r="N1050">
        <v>576</v>
      </c>
      <c r="O1050" t="s">
        <v>5625</v>
      </c>
      <c r="P1050" t="s">
        <v>18</v>
      </c>
    </row>
    <row r="1051" spans="1:16" x14ac:dyDescent="0.35">
      <c r="A1051">
        <v>5789624</v>
      </c>
      <c r="B1051" t="s">
        <v>5626</v>
      </c>
      <c r="C1051" t="str">
        <f>"9781527533806"</f>
        <v>9781527533806</v>
      </c>
      <c r="D1051" t="str">
        <f>"9781527535992"</f>
        <v>9781527535992</v>
      </c>
      <c r="E1051" t="s">
        <v>1662</v>
      </c>
      <c r="F1051" t="s">
        <v>1662</v>
      </c>
      <c r="G1051" s="1">
        <v>43634</v>
      </c>
      <c r="H1051" s="1">
        <v>43632</v>
      </c>
      <c r="K1051" t="s">
        <v>5627</v>
      </c>
      <c r="L1051" t="s">
        <v>5628</v>
      </c>
      <c r="M1051" t="s">
        <v>5629</v>
      </c>
      <c r="N1051">
        <v>363.70071200000001</v>
      </c>
      <c r="O1051" t="s">
        <v>5630</v>
      </c>
      <c r="P1051" t="s">
        <v>18</v>
      </c>
    </row>
    <row r="1052" spans="1:16" x14ac:dyDescent="0.35">
      <c r="A1052">
        <v>5790534</v>
      </c>
      <c r="B1052" t="s">
        <v>5631</v>
      </c>
      <c r="C1052" t="str">
        <f>"9780128131428"</f>
        <v>9780128131428</v>
      </c>
      <c r="D1052" t="str">
        <f>"9780128131435"</f>
        <v>9780128131435</v>
      </c>
      <c r="E1052" t="s">
        <v>190</v>
      </c>
      <c r="F1052" t="s">
        <v>191</v>
      </c>
      <c r="G1052" s="1">
        <v>43634</v>
      </c>
      <c r="H1052" s="1">
        <v>43635</v>
      </c>
      <c r="K1052" t="s">
        <v>5632</v>
      </c>
      <c r="L1052" t="s">
        <v>66</v>
      </c>
      <c r="M1052" t="s">
        <v>5633</v>
      </c>
      <c r="N1052">
        <v>333.70151179999999</v>
      </c>
      <c r="O1052" t="s">
        <v>5634</v>
      </c>
      <c r="P1052" t="s">
        <v>18</v>
      </c>
    </row>
    <row r="1053" spans="1:16" x14ac:dyDescent="0.35">
      <c r="A1053">
        <v>5790676</v>
      </c>
      <c r="B1053" t="s">
        <v>5635</v>
      </c>
      <c r="C1053" t="str">
        <f>"9780128134542"</f>
        <v>9780128134542</v>
      </c>
      <c r="D1053" t="str">
        <f>"9780128134559"</f>
        <v>9780128134559</v>
      </c>
      <c r="E1053" t="s">
        <v>1699</v>
      </c>
      <c r="F1053" t="s">
        <v>1699</v>
      </c>
      <c r="G1053" s="1">
        <v>43634</v>
      </c>
      <c r="H1053" s="1">
        <v>43636</v>
      </c>
      <c r="K1053" t="s">
        <v>5636</v>
      </c>
      <c r="L1053" t="s">
        <v>5637</v>
      </c>
      <c r="M1053" t="s">
        <v>5638</v>
      </c>
      <c r="N1053">
        <v>333.79680000000002</v>
      </c>
      <c r="O1053" t="s">
        <v>5639</v>
      </c>
      <c r="P1053" t="s">
        <v>18</v>
      </c>
    </row>
    <row r="1054" spans="1:16" x14ac:dyDescent="0.35">
      <c r="A1054">
        <v>5790847</v>
      </c>
      <c r="B1054" t="s">
        <v>5640</v>
      </c>
      <c r="C1054" t="str">
        <f>"9780128194362"</f>
        <v>9780128194362</v>
      </c>
      <c r="D1054" t="str">
        <f>"9780128194379"</f>
        <v>9780128194379</v>
      </c>
      <c r="E1054" t="s">
        <v>190</v>
      </c>
      <c r="F1054" t="s">
        <v>191</v>
      </c>
      <c r="G1054" s="1">
        <v>43634</v>
      </c>
      <c r="H1054" s="1">
        <v>43636</v>
      </c>
      <c r="K1054" t="s">
        <v>5641</v>
      </c>
      <c r="L1054" t="s">
        <v>5642</v>
      </c>
      <c r="M1054" t="s">
        <v>5643</v>
      </c>
      <c r="N1054">
        <v>363.25945095490999</v>
      </c>
      <c r="O1054" t="s">
        <v>5644</v>
      </c>
      <c r="P1054" t="s">
        <v>18</v>
      </c>
    </row>
    <row r="1055" spans="1:16" x14ac:dyDescent="0.35">
      <c r="A1055">
        <v>5799303</v>
      </c>
      <c r="B1055" t="s">
        <v>5645</v>
      </c>
      <c r="C1055" t="str">
        <f>"9780444641069"</f>
        <v>9780444641069</v>
      </c>
      <c r="D1055" t="str">
        <f>"9780444641076"</f>
        <v>9780444641076</v>
      </c>
      <c r="E1055" t="s">
        <v>190</v>
      </c>
      <c r="F1055" t="s">
        <v>190</v>
      </c>
      <c r="G1055" s="1">
        <v>43634</v>
      </c>
      <c r="H1055" s="1">
        <v>43644</v>
      </c>
      <c r="I1055">
        <v>3</v>
      </c>
      <c r="K1055" t="s">
        <v>5646</v>
      </c>
      <c r="L1055" t="s">
        <v>5647</v>
      </c>
      <c r="M1055" t="s">
        <v>5648</v>
      </c>
      <c r="N1055">
        <v>702.88</v>
      </c>
      <c r="O1055" t="s">
        <v>5649</v>
      </c>
      <c r="P1055" t="s">
        <v>18</v>
      </c>
    </row>
    <row r="1056" spans="1:16" x14ac:dyDescent="0.35">
      <c r="A1056">
        <v>5813078</v>
      </c>
      <c r="B1056" t="s">
        <v>5650</v>
      </c>
      <c r="C1056" t="str">
        <f>"9789813233676"</f>
        <v>9789813233676</v>
      </c>
      <c r="D1056" t="str">
        <f>"9789813233683"</f>
        <v>9789813233683</v>
      </c>
      <c r="E1056" t="s">
        <v>184</v>
      </c>
      <c r="F1056" t="s">
        <v>185</v>
      </c>
      <c r="G1056" s="1">
        <v>43633</v>
      </c>
      <c r="H1056" s="1">
        <v>43657</v>
      </c>
      <c r="J1056" t="s">
        <v>5651</v>
      </c>
      <c r="K1056" t="s">
        <v>5652</v>
      </c>
      <c r="L1056" t="s">
        <v>271</v>
      </c>
      <c r="M1056" t="s">
        <v>5653</v>
      </c>
      <c r="N1056">
        <v>910.68</v>
      </c>
      <c r="O1056" t="s">
        <v>4757</v>
      </c>
      <c r="P1056" t="s">
        <v>18</v>
      </c>
    </row>
    <row r="1057" spans="1:16" x14ac:dyDescent="0.35">
      <c r="A1057">
        <v>5790547</v>
      </c>
      <c r="B1057" t="s">
        <v>5654</v>
      </c>
      <c r="C1057" t="str">
        <f>"9780128174562"</f>
        <v>9780128174562</v>
      </c>
      <c r="D1057" t="str">
        <f>"9780128174579"</f>
        <v>9780128174579</v>
      </c>
      <c r="E1057" t="s">
        <v>1699</v>
      </c>
      <c r="F1057" t="s">
        <v>1699</v>
      </c>
      <c r="G1057" s="1">
        <v>43631</v>
      </c>
      <c r="H1057" s="1">
        <v>43635</v>
      </c>
      <c r="K1057" t="s">
        <v>5655</v>
      </c>
      <c r="L1057" t="s">
        <v>5656</v>
      </c>
      <c r="M1057" t="s">
        <v>5657</v>
      </c>
      <c r="N1057">
        <v>681.2</v>
      </c>
      <c r="O1057" t="s">
        <v>5658</v>
      </c>
      <c r="P1057" t="s">
        <v>18</v>
      </c>
    </row>
    <row r="1058" spans="1:16" x14ac:dyDescent="0.35">
      <c r="A1058">
        <v>5790839</v>
      </c>
      <c r="B1058" t="s">
        <v>5659</v>
      </c>
      <c r="C1058" t="str">
        <f>"9780128152751"</f>
        <v>9780128152751</v>
      </c>
      <c r="D1058" t="str">
        <f>"9780128152768"</f>
        <v>9780128152768</v>
      </c>
      <c r="E1058" t="s">
        <v>190</v>
      </c>
      <c r="F1058" t="s">
        <v>190</v>
      </c>
      <c r="G1058" s="1">
        <v>43631</v>
      </c>
      <c r="H1058" s="1">
        <v>43636</v>
      </c>
      <c r="K1058" t="s">
        <v>5660</v>
      </c>
      <c r="L1058" t="s">
        <v>5661</v>
      </c>
      <c r="M1058" t="s">
        <v>5662</v>
      </c>
      <c r="N1058">
        <v>333.91160915400002</v>
      </c>
      <c r="O1058" t="s">
        <v>5663</v>
      </c>
      <c r="P1058" t="s">
        <v>18</v>
      </c>
    </row>
    <row r="1059" spans="1:16" x14ac:dyDescent="0.35">
      <c r="A1059">
        <v>5783761</v>
      </c>
      <c r="B1059" t="s">
        <v>5664</v>
      </c>
      <c r="C1059" t="str">
        <f>"9781522591047"</f>
        <v>9781522591047</v>
      </c>
      <c r="D1059" t="str">
        <f>"9781522591078"</f>
        <v>9781522591078</v>
      </c>
      <c r="E1059" t="s">
        <v>138</v>
      </c>
      <c r="F1059" t="s">
        <v>1764</v>
      </c>
      <c r="G1059" s="1">
        <v>43630</v>
      </c>
      <c r="H1059" s="1">
        <v>43620</v>
      </c>
      <c r="K1059" t="s">
        <v>5665</v>
      </c>
      <c r="L1059" t="s">
        <v>94</v>
      </c>
      <c r="M1059" t="s">
        <v>5666</v>
      </c>
      <c r="N1059">
        <v>696</v>
      </c>
      <c r="O1059" t="s">
        <v>5667</v>
      </c>
      <c r="P1059" t="s">
        <v>18</v>
      </c>
    </row>
    <row r="1060" spans="1:16" x14ac:dyDescent="0.35">
      <c r="A1060">
        <v>5772935</v>
      </c>
      <c r="B1060" t="s">
        <v>5668</v>
      </c>
      <c r="C1060" t="str">
        <f>"9781472900920"</f>
        <v>9781472900920</v>
      </c>
      <c r="D1060" t="str">
        <f>"9781408845349"</f>
        <v>9781408845349</v>
      </c>
      <c r="E1060" t="s">
        <v>354</v>
      </c>
      <c r="F1060" t="s">
        <v>5669</v>
      </c>
      <c r="G1060" s="1">
        <v>43629</v>
      </c>
      <c r="H1060" s="1">
        <v>43601</v>
      </c>
      <c r="K1060" t="s">
        <v>5670</v>
      </c>
      <c r="L1060" t="s">
        <v>408</v>
      </c>
      <c r="M1060" t="s">
        <v>5671</v>
      </c>
      <c r="N1060">
        <v>599.75260941099998</v>
      </c>
      <c r="O1060" t="s">
        <v>5672</v>
      </c>
      <c r="P1060" t="s">
        <v>18</v>
      </c>
    </row>
    <row r="1061" spans="1:16" x14ac:dyDescent="0.35">
      <c r="A1061">
        <v>5785435</v>
      </c>
      <c r="B1061" t="s">
        <v>5673</v>
      </c>
      <c r="C1061" t="str">
        <f>"9781472962652"</f>
        <v>9781472962652</v>
      </c>
      <c r="D1061" t="str">
        <f>"9781472962676"</f>
        <v>9781472962676</v>
      </c>
      <c r="E1061" t="s">
        <v>354</v>
      </c>
      <c r="F1061" t="s">
        <v>3643</v>
      </c>
      <c r="G1061" s="1">
        <v>43629</v>
      </c>
      <c r="H1061" s="1">
        <v>43623</v>
      </c>
      <c r="K1061" t="s">
        <v>5674</v>
      </c>
      <c r="L1061" t="s">
        <v>41</v>
      </c>
      <c r="M1061" t="s">
        <v>5675</v>
      </c>
      <c r="N1061">
        <v>332.60419999999999</v>
      </c>
      <c r="O1061" t="s">
        <v>5676</v>
      </c>
      <c r="P1061" t="s">
        <v>18</v>
      </c>
    </row>
    <row r="1062" spans="1:16" x14ac:dyDescent="0.35">
      <c r="A1062">
        <v>5789397</v>
      </c>
      <c r="B1062" t="s">
        <v>5677</v>
      </c>
      <c r="C1062" t="str">
        <f>"9780128147924"</f>
        <v>9780128147924</v>
      </c>
      <c r="D1062" t="str">
        <f>"9780128147931"</f>
        <v>9780128147931</v>
      </c>
      <c r="E1062" t="s">
        <v>190</v>
      </c>
      <c r="F1062" t="s">
        <v>191</v>
      </c>
      <c r="G1062" s="1">
        <v>43629</v>
      </c>
      <c r="H1062" s="1">
        <v>43631</v>
      </c>
      <c r="K1062" t="s">
        <v>5678</v>
      </c>
      <c r="L1062" t="s">
        <v>168</v>
      </c>
      <c r="M1062" t="s">
        <v>5679</v>
      </c>
      <c r="N1062">
        <v>631.50284999999997</v>
      </c>
      <c r="O1062" t="s">
        <v>5680</v>
      </c>
      <c r="P1062" t="s">
        <v>18</v>
      </c>
    </row>
    <row r="1063" spans="1:16" x14ac:dyDescent="0.35">
      <c r="A1063">
        <v>5789654</v>
      </c>
      <c r="B1063" t="s">
        <v>5681</v>
      </c>
      <c r="C1063" t="str">
        <f>"9780128155912"</f>
        <v>9780128155912</v>
      </c>
      <c r="D1063" t="str">
        <f>"9780128155929"</f>
        <v>9780128155929</v>
      </c>
      <c r="E1063" t="s">
        <v>190</v>
      </c>
      <c r="F1063" t="s">
        <v>191</v>
      </c>
      <c r="G1063" s="1">
        <v>43629</v>
      </c>
      <c r="H1063" s="1">
        <v>43632</v>
      </c>
      <c r="K1063" t="s">
        <v>5682</v>
      </c>
      <c r="L1063" t="s">
        <v>172</v>
      </c>
      <c r="M1063" t="s">
        <v>5683</v>
      </c>
      <c r="N1063">
        <v>577.09879999999998</v>
      </c>
      <c r="O1063" t="s">
        <v>5684</v>
      </c>
      <c r="P1063" t="s">
        <v>18</v>
      </c>
    </row>
    <row r="1064" spans="1:16" x14ac:dyDescent="0.35">
      <c r="A1064">
        <v>5788286</v>
      </c>
      <c r="B1064" t="s">
        <v>5685</v>
      </c>
      <c r="C1064" t="str">
        <f>"9780128170120"</f>
        <v>9780128170120</v>
      </c>
      <c r="D1064" t="str">
        <f>"9780128170137"</f>
        <v>9780128170137</v>
      </c>
      <c r="E1064" t="s">
        <v>190</v>
      </c>
      <c r="F1064" t="s">
        <v>191</v>
      </c>
      <c r="G1064" s="1">
        <v>43628</v>
      </c>
      <c r="H1064" s="1">
        <v>43629</v>
      </c>
      <c r="K1064" t="s">
        <v>5686</v>
      </c>
      <c r="L1064" t="s">
        <v>427</v>
      </c>
      <c r="M1064" t="s">
        <v>5687</v>
      </c>
      <c r="N1064">
        <v>333.79320000000001</v>
      </c>
      <c r="O1064" t="s">
        <v>481</v>
      </c>
      <c r="P1064" t="s">
        <v>18</v>
      </c>
    </row>
    <row r="1065" spans="1:16" x14ac:dyDescent="0.35">
      <c r="A1065">
        <v>5788836</v>
      </c>
      <c r="B1065" t="s">
        <v>5688</v>
      </c>
      <c r="C1065" t="str">
        <f>"9780128157190"</f>
        <v>9780128157190</v>
      </c>
      <c r="D1065" t="str">
        <f>"9780128154441"</f>
        <v>9780128154441</v>
      </c>
      <c r="E1065" t="s">
        <v>190</v>
      </c>
      <c r="F1065" t="s">
        <v>191</v>
      </c>
      <c r="G1065" s="1">
        <v>43627</v>
      </c>
      <c r="H1065" s="1">
        <v>43630</v>
      </c>
      <c r="K1065" t="s">
        <v>5689</v>
      </c>
      <c r="L1065" t="s">
        <v>41</v>
      </c>
      <c r="M1065" t="s">
        <v>5690</v>
      </c>
      <c r="N1065">
        <v>339.5</v>
      </c>
      <c r="O1065" t="s">
        <v>5691</v>
      </c>
      <c r="P1065" t="s">
        <v>18</v>
      </c>
    </row>
    <row r="1066" spans="1:16" x14ac:dyDescent="0.35">
      <c r="A1066">
        <v>5789602</v>
      </c>
      <c r="B1066" t="s">
        <v>5692</v>
      </c>
      <c r="C1066" t="str">
        <f>"9781527533981"</f>
        <v>9781527533981</v>
      </c>
      <c r="D1066" t="str">
        <f>"9781527535497"</f>
        <v>9781527535497</v>
      </c>
      <c r="E1066" t="s">
        <v>1662</v>
      </c>
      <c r="F1066" t="s">
        <v>1662</v>
      </c>
      <c r="G1066" s="1">
        <v>43627</v>
      </c>
      <c r="H1066" s="1">
        <v>43632</v>
      </c>
      <c r="K1066" t="s">
        <v>5693</v>
      </c>
      <c r="L1066" t="s">
        <v>308</v>
      </c>
      <c r="M1066" t="s">
        <v>5694</v>
      </c>
      <c r="N1066">
        <v>338.47910000000002</v>
      </c>
      <c r="O1066" t="s">
        <v>1964</v>
      </c>
      <c r="P1066" t="s">
        <v>18</v>
      </c>
    </row>
    <row r="1067" spans="1:16" x14ac:dyDescent="0.35">
      <c r="A1067">
        <v>5788822</v>
      </c>
      <c r="B1067" t="s">
        <v>5695</v>
      </c>
      <c r="C1067" t="str">
        <f>"9780128134115"</f>
        <v>9780128134115</v>
      </c>
      <c r="D1067" t="str">
        <f>"9780128134122"</f>
        <v>9780128134122</v>
      </c>
      <c r="E1067" t="s">
        <v>190</v>
      </c>
      <c r="F1067" t="s">
        <v>191</v>
      </c>
      <c r="G1067" s="1">
        <v>43626</v>
      </c>
      <c r="H1067" s="1">
        <v>43630</v>
      </c>
      <c r="K1067" t="s">
        <v>5696</v>
      </c>
      <c r="L1067" t="s">
        <v>26</v>
      </c>
      <c r="M1067" t="s">
        <v>5697</v>
      </c>
      <c r="N1067">
        <v>338.19</v>
      </c>
      <c r="O1067" t="s">
        <v>5027</v>
      </c>
      <c r="P1067" t="s">
        <v>18</v>
      </c>
    </row>
    <row r="1068" spans="1:16" x14ac:dyDescent="0.35">
      <c r="A1068">
        <v>5788825</v>
      </c>
      <c r="B1068" t="s">
        <v>5698</v>
      </c>
      <c r="C1068" t="str">
        <f>"9780081027912"</f>
        <v>9780081027912</v>
      </c>
      <c r="D1068" t="str">
        <f>"9780081027929"</f>
        <v>9780081027929</v>
      </c>
      <c r="E1068" t="s">
        <v>190</v>
      </c>
      <c r="F1068" t="s">
        <v>280</v>
      </c>
      <c r="G1068" s="1">
        <v>43626</v>
      </c>
      <c r="H1068" s="1">
        <v>43630</v>
      </c>
      <c r="J1068" t="s">
        <v>3018</v>
      </c>
      <c r="K1068" t="s">
        <v>5699</v>
      </c>
      <c r="L1068" t="s">
        <v>76</v>
      </c>
      <c r="M1068" t="s">
        <v>5700</v>
      </c>
      <c r="N1068">
        <v>662.88</v>
      </c>
      <c r="O1068" t="s">
        <v>421</v>
      </c>
      <c r="P1068" t="s">
        <v>18</v>
      </c>
    </row>
    <row r="1069" spans="1:16" x14ac:dyDescent="0.35">
      <c r="A1069">
        <v>5788503</v>
      </c>
      <c r="B1069" t="s">
        <v>5701</v>
      </c>
      <c r="C1069" t="str">
        <f>"9780128146330"</f>
        <v>9780128146330</v>
      </c>
      <c r="D1069" t="str">
        <f>"9780128146347"</f>
        <v>9780128146347</v>
      </c>
      <c r="E1069" t="s">
        <v>1699</v>
      </c>
      <c r="F1069" t="s">
        <v>1699</v>
      </c>
      <c r="G1069" s="1">
        <v>43624</v>
      </c>
      <c r="H1069" s="1">
        <v>43629</v>
      </c>
      <c r="K1069" t="s">
        <v>5702</v>
      </c>
      <c r="L1069" t="s">
        <v>464</v>
      </c>
      <c r="M1069" t="s">
        <v>5703</v>
      </c>
      <c r="N1069" t="s">
        <v>5704</v>
      </c>
      <c r="O1069" t="s">
        <v>5705</v>
      </c>
      <c r="P1069" t="s">
        <v>18</v>
      </c>
    </row>
    <row r="1070" spans="1:16" x14ac:dyDescent="0.35">
      <c r="A1070">
        <v>5790690</v>
      </c>
      <c r="B1070" t="s">
        <v>5706</v>
      </c>
      <c r="C1070" t="str">
        <f>"9781789202373"</f>
        <v>9781789202373</v>
      </c>
      <c r="D1070" t="str">
        <f>"9781789202380"</f>
        <v>9781789202380</v>
      </c>
      <c r="E1070" t="s">
        <v>447</v>
      </c>
      <c r="F1070" t="s">
        <v>447</v>
      </c>
      <c r="G1070" s="1">
        <v>43622</v>
      </c>
      <c r="H1070" s="1">
        <v>43636</v>
      </c>
      <c r="I1070">
        <v>1</v>
      </c>
      <c r="J1070" t="s">
        <v>5707</v>
      </c>
      <c r="K1070" t="s">
        <v>5708</v>
      </c>
      <c r="L1070" t="s">
        <v>38</v>
      </c>
      <c r="M1070" t="s">
        <v>5709</v>
      </c>
      <c r="N1070">
        <v>363.8</v>
      </c>
      <c r="P1070" t="s">
        <v>18</v>
      </c>
    </row>
    <row r="1071" spans="1:16" x14ac:dyDescent="0.35">
      <c r="A1071">
        <v>5785418</v>
      </c>
      <c r="B1071" t="s">
        <v>5710</v>
      </c>
      <c r="C1071" t="str">
        <f>"9780128153574"</f>
        <v>9780128153574</v>
      </c>
      <c r="D1071" t="str">
        <f>"9780128157091"</f>
        <v>9780128157091</v>
      </c>
      <c r="E1071" t="s">
        <v>190</v>
      </c>
      <c r="F1071" t="s">
        <v>191</v>
      </c>
      <c r="G1071" s="1">
        <v>43620</v>
      </c>
      <c r="H1071" s="1">
        <v>43623</v>
      </c>
      <c r="K1071" t="s">
        <v>3972</v>
      </c>
      <c r="L1071" t="s">
        <v>5711</v>
      </c>
      <c r="M1071" t="s">
        <v>5712</v>
      </c>
      <c r="N1071">
        <v>338.19</v>
      </c>
      <c r="O1071" t="s">
        <v>5713</v>
      </c>
      <c r="P1071" t="s">
        <v>18</v>
      </c>
    </row>
    <row r="1072" spans="1:16" x14ac:dyDescent="0.35">
      <c r="A1072">
        <v>5778172</v>
      </c>
      <c r="B1072" t="s">
        <v>5714</v>
      </c>
      <c r="C1072" t="str">
        <f>"9781788974080"</f>
        <v>9781788974080</v>
      </c>
      <c r="D1072" t="str">
        <f>"9781788974097"</f>
        <v>9781788974097</v>
      </c>
      <c r="E1072" t="s">
        <v>2080</v>
      </c>
      <c r="F1072" t="s">
        <v>2080</v>
      </c>
      <c r="G1072" s="1">
        <v>43616</v>
      </c>
      <c r="H1072" s="1">
        <v>43608</v>
      </c>
      <c r="J1072" t="s">
        <v>5715</v>
      </c>
      <c r="K1072" t="s">
        <v>5716</v>
      </c>
      <c r="L1072" t="s">
        <v>26</v>
      </c>
      <c r="N1072">
        <v>338.94009051</v>
      </c>
      <c r="P1072" t="s">
        <v>18</v>
      </c>
    </row>
    <row r="1073" spans="1:16" x14ac:dyDescent="0.35">
      <c r="A1073">
        <v>5778175</v>
      </c>
      <c r="B1073" t="s">
        <v>5717</v>
      </c>
      <c r="C1073" t="str">
        <f>"9781788113939"</f>
        <v>9781788113939</v>
      </c>
      <c r="D1073" t="str">
        <f>"9781788113946"</f>
        <v>9781788113946</v>
      </c>
      <c r="E1073" t="s">
        <v>2080</v>
      </c>
      <c r="F1073" t="s">
        <v>2080</v>
      </c>
      <c r="G1073" s="1">
        <v>43616</v>
      </c>
      <c r="H1073" s="1">
        <v>43608</v>
      </c>
      <c r="J1073" t="s">
        <v>5249</v>
      </c>
      <c r="K1073" t="s">
        <v>5718</v>
      </c>
      <c r="L1073" t="s">
        <v>23</v>
      </c>
      <c r="N1073">
        <v>344.04599999999999</v>
      </c>
      <c r="P1073" t="s">
        <v>18</v>
      </c>
    </row>
    <row r="1074" spans="1:16" x14ac:dyDescent="0.35">
      <c r="A1074">
        <v>5782496</v>
      </c>
      <c r="B1074" t="s">
        <v>5719</v>
      </c>
      <c r="C1074" t="str">
        <f>"9780128176542"</f>
        <v>9780128176542</v>
      </c>
      <c r="D1074" t="str">
        <f>"9780128176559"</f>
        <v>9780128176559</v>
      </c>
      <c r="E1074" t="s">
        <v>1699</v>
      </c>
      <c r="F1074" t="s">
        <v>1699</v>
      </c>
      <c r="G1074" s="1">
        <v>43616</v>
      </c>
      <c r="H1074" s="1">
        <v>43618</v>
      </c>
      <c r="K1074" t="s">
        <v>5720</v>
      </c>
      <c r="L1074" t="s">
        <v>118</v>
      </c>
      <c r="M1074" t="s">
        <v>5721</v>
      </c>
      <c r="N1074">
        <v>662.88</v>
      </c>
      <c r="O1074" t="s">
        <v>421</v>
      </c>
      <c r="P1074" t="s">
        <v>18</v>
      </c>
    </row>
    <row r="1075" spans="1:16" x14ac:dyDescent="0.35">
      <c r="A1075">
        <v>5784082</v>
      </c>
      <c r="B1075" t="s">
        <v>5722</v>
      </c>
      <c r="C1075" t="str">
        <f>"9780128166956"</f>
        <v>9780128166956</v>
      </c>
      <c r="D1075" t="str">
        <f>"9780128172865"</f>
        <v>9780128172865</v>
      </c>
      <c r="E1075" t="s">
        <v>190</v>
      </c>
      <c r="F1075" t="s">
        <v>191</v>
      </c>
      <c r="G1075" s="1">
        <v>43616</v>
      </c>
      <c r="H1075" s="1">
        <v>43621</v>
      </c>
      <c r="K1075" t="s">
        <v>5053</v>
      </c>
      <c r="L1075" t="s">
        <v>5723</v>
      </c>
      <c r="M1075" t="s">
        <v>5724</v>
      </c>
      <c r="N1075">
        <v>547.75</v>
      </c>
      <c r="O1075" t="s">
        <v>5725</v>
      </c>
      <c r="P1075" t="s">
        <v>18</v>
      </c>
    </row>
    <row r="1076" spans="1:16" x14ac:dyDescent="0.35">
      <c r="A1076">
        <v>5750441</v>
      </c>
      <c r="B1076" t="s">
        <v>5726</v>
      </c>
      <c r="C1076" t="str">
        <f>"9781509920891"</f>
        <v>9781509920891</v>
      </c>
      <c r="D1076" t="str">
        <f>"9781509920914"</f>
        <v>9781509920914</v>
      </c>
      <c r="E1076" t="s">
        <v>354</v>
      </c>
      <c r="F1076" t="s">
        <v>294</v>
      </c>
      <c r="G1076" s="1">
        <v>43615</v>
      </c>
      <c r="H1076" s="1">
        <v>43568</v>
      </c>
      <c r="K1076" t="s">
        <v>5727</v>
      </c>
      <c r="L1076" t="s">
        <v>23</v>
      </c>
      <c r="N1076">
        <v>344.41046</v>
      </c>
      <c r="P1076" t="s">
        <v>18</v>
      </c>
    </row>
    <row r="1077" spans="1:16" x14ac:dyDescent="0.35">
      <c r="A1077">
        <v>5777730</v>
      </c>
      <c r="B1077" t="s">
        <v>5728</v>
      </c>
      <c r="C1077" t="str">
        <f>"9781787566842"</f>
        <v>9781787566842</v>
      </c>
      <c r="D1077" t="str">
        <f>"9781787566859"</f>
        <v>9781787566859</v>
      </c>
      <c r="E1077" t="s">
        <v>187</v>
      </c>
      <c r="F1077" t="s">
        <v>187</v>
      </c>
      <c r="G1077" s="1">
        <v>43615</v>
      </c>
      <c r="H1077" s="1">
        <v>43607</v>
      </c>
      <c r="K1077" t="s">
        <v>5729</v>
      </c>
      <c r="L1077" t="s">
        <v>28</v>
      </c>
      <c r="M1077" t="s">
        <v>1676</v>
      </c>
      <c r="N1077">
        <v>658.408095</v>
      </c>
      <c r="O1077" t="s">
        <v>5730</v>
      </c>
      <c r="P1077" t="s">
        <v>18</v>
      </c>
    </row>
    <row r="1078" spans="1:16" x14ac:dyDescent="0.35">
      <c r="A1078">
        <v>5779794</v>
      </c>
      <c r="B1078" t="s">
        <v>5731</v>
      </c>
      <c r="C1078" t="str">
        <f>"9780128169629"</f>
        <v>9780128169629</v>
      </c>
      <c r="D1078" t="str">
        <f>"9780128173305"</f>
        <v>9780128173305</v>
      </c>
      <c r="E1078" t="s">
        <v>190</v>
      </c>
      <c r="F1078" t="s">
        <v>191</v>
      </c>
      <c r="G1078" s="1">
        <v>43614</v>
      </c>
      <c r="H1078" s="1">
        <v>43611</v>
      </c>
      <c r="K1078" t="s">
        <v>5732</v>
      </c>
      <c r="L1078" t="s">
        <v>5733</v>
      </c>
      <c r="M1078" t="s">
        <v>5734</v>
      </c>
      <c r="N1078">
        <v>333.95160959999998</v>
      </c>
      <c r="O1078" t="s">
        <v>5735</v>
      </c>
      <c r="P1078" t="s">
        <v>18</v>
      </c>
    </row>
    <row r="1079" spans="1:16" x14ac:dyDescent="0.35">
      <c r="A1079">
        <v>5777739</v>
      </c>
      <c r="B1079" t="s">
        <v>5736</v>
      </c>
      <c r="C1079" t="str">
        <f>"9781789733167"</f>
        <v>9781789733167</v>
      </c>
      <c r="D1079" t="str">
        <f>"9781789733174"</f>
        <v>9781789733174</v>
      </c>
      <c r="E1079" t="s">
        <v>187</v>
      </c>
      <c r="F1079" t="s">
        <v>187</v>
      </c>
      <c r="G1079" s="1">
        <v>43613</v>
      </c>
      <c r="H1079" s="1">
        <v>43607</v>
      </c>
      <c r="K1079" t="s">
        <v>5737</v>
      </c>
      <c r="L1079" t="s">
        <v>28</v>
      </c>
      <c r="M1079" t="s">
        <v>4947</v>
      </c>
      <c r="N1079">
        <v>650</v>
      </c>
      <c r="O1079" t="s">
        <v>507</v>
      </c>
      <c r="P1079" t="s">
        <v>18</v>
      </c>
    </row>
    <row r="1080" spans="1:16" x14ac:dyDescent="0.35">
      <c r="A1080">
        <v>5786890</v>
      </c>
      <c r="B1080" t="s">
        <v>5738</v>
      </c>
      <c r="C1080" t="str">
        <f>"9783110597028"</f>
        <v>9783110597028</v>
      </c>
      <c r="D1080" t="str">
        <f>"9783110597035"</f>
        <v>9783110597035</v>
      </c>
      <c r="E1080" t="s">
        <v>404</v>
      </c>
      <c r="F1080" t="s">
        <v>4430</v>
      </c>
      <c r="G1080" s="1">
        <v>43605</v>
      </c>
      <c r="H1080" s="1">
        <v>43627</v>
      </c>
      <c r="I1080">
        <v>2</v>
      </c>
      <c r="J1080" t="s">
        <v>5739</v>
      </c>
      <c r="K1080" t="s">
        <v>5740</v>
      </c>
      <c r="L1080" t="s">
        <v>28</v>
      </c>
      <c r="M1080" t="s">
        <v>5741</v>
      </c>
      <c r="N1080">
        <v>658.40800000000002</v>
      </c>
      <c r="O1080" t="s">
        <v>2546</v>
      </c>
      <c r="P1080" t="s">
        <v>315</v>
      </c>
    </row>
    <row r="1081" spans="1:16" x14ac:dyDescent="0.35">
      <c r="A1081">
        <v>5777789</v>
      </c>
      <c r="B1081" t="s">
        <v>5742</v>
      </c>
      <c r="C1081" t="str">
        <f>"9780128144015"</f>
        <v>9780128144015</v>
      </c>
      <c r="D1081" t="str">
        <f>"9780128144022"</f>
        <v>9780128144022</v>
      </c>
      <c r="E1081" t="s">
        <v>1699</v>
      </c>
      <c r="F1081" t="s">
        <v>1699</v>
      </c>
      <c r="G1081" s="1">
        <v>43603</v>
      </c>
      <c r="H1081" s="1">
        <v>43607</v>
      </c>
      <c r="J1081" t="s">
        <v>2287</v>
      </c>
      <c r="K1081" t="s">
        <v>5743</v>
      </c>
      <c r="L1081" t="s">
        <v>91</v>
      </c>
      <c r="M1081" t="s">
        <v>5744</v>
      </c>
      <c r="N1081">
        <v>620.11500000000001</v>
      </c>
      <c r="O1081" t="s">
        <v>5745</v>
      </c>
      <c r="P1081" t="s">
        <v>18</v>
      </c>
    </row>
    <row r="1082" spans="1:16" x14ac:dyDescent="0.35">
      <c r="A1082">
        <v>5778363</v>
      </c>
      <c r="B1082" t="s">
        <v>5746</v>
      </c>
      <c r="C1082" t="str">
        <f>"9780128165645"</f>
        <v>9780128165645</v>
      </c>
      <c r="D1082" t="str">
        <f>"9780128166413"</f>
        <v>9780128166413</v>
      </c>
      <c r="E1082" t="s">
        <v>190</v>
      </c>
      <c r="F1082" t="s">
        <v>191</v>
      </c>
      <c r="G1082" s="1">
        <v>43603</v>
      </c>
      <c r="H1082" s="1">
        <v>43608</v>
      </c>
      <c r="K1082" t="s">
        <v>5747</v>
      </c>
      <c r="L1082" t="s">
        <v>5748</v>
      </c>
      <c r="M1082" t="s">
        <v>5749</v>
      </c>
      <c r="N1082">
        <v>670</v>
      </c>
      <c r="P1082" t="s">
        <v>18</v>
      </c>
    </row>
    <row r="1083" spans="1:16" x14ac:dyDescent="0.35">
      <c r="A1083">
        <v>5759593</v>
      </c>
      <c r="B1083" t="s">
        <v>5750</v>
      </c>
      <c r="C1083" t="str">
        <f>"9781472961655"</f>
        <v>9781472961655</v>
      </c>
      <c r="D1083" t="str">
        <f>"9781472961648"</f>
        <v>9781472961648</v>
      </c>
      <c r="E1083" t="s">
        <v>354</v>
      </c>
      <c r="F1083" t="s">
        <v>5751</v>
      </c>
      <c r="G1083" s="1">
        <v>43601</v>
      </c>
      <c r="H1083" s="1">
        <v>43581</v>
      </c>
      <c r="K1083" t="s">
        <v>5752</v>
      </c>
      <c r="L1083" t="s">
        <v>30</v>
      </c>
      <c r="M1083" t="s">
        <v>5753</v>
      </c>
      <c r="N1083">
        <v>371.20100000000002</v>
      </c>
      <c r="O1083" t="s">
        <v>5754</v>
      </c>
      <c r="P1083" t="s">
        <v>18</v>
      </c>
    </row>
    <row r="1084" spans="1:16" x14ac:dyDescent="0.35">
      <c r="A1084">
        <v>5770966</v>
      </c>
      <c r="B1084" t="s">
        <v>5755</v>
      </c>
      <c r="C1084" t="str">
        <f>"9780128161708"</f>
        <v>9780128161708</v>
      </c>
      <c r="D1084" t="str">
        <f>"9780128161715"</f>
        <v>9780128161715</v>
      </c>
      <c r="E1084" t="s">
        <v>1699</v>
      </c>
      <c r="F1084" t="s">
        <v>1699</v>
      </c>
      <c r="G1084" s="1">
        <v>43601</v>
      </c>
      <c r="H1084" s="1">
        <v>43595</v>
      </c>
      <c r="K1084" t="s">
        <v>5756</v>
      </c>
      <c r="L1084" t="s">
        <v>104</v>
      </c>
      <c r="M1084" t="s">
        <v>5757</v>
      </c>
      <c r="N1084">
        <v>628.16200000000003</v>
      </c>
      <c r="P1084" t="s">
        <v>18</v>
      </c>
    </row>
    <row r="1085" spans="1:16" x14ac:dyDescent="0.35">
      <c r="A1085">
        <v>5779214</v>
      </c>
      <c r="B1085" t="s">
        <v>5758</v>
      </c>
      <c r="C1085" t="str">
        <f>"9781527532007"</f>
        <v>9781527532007</v>
      </c>
      <c r="D1085" t="str">
        <f>"9781527534292"</f>
        <v>9781527534292</v>
      </c>
      <c r="E1085" t="s">
        <v>1662</v>
      </c>
      <c r="F1085" t="s">
        <v>1662</v>
      </c>
      <c r="G1085" s="1">
        <v>43601</v>
      </c>
      <c r="H1085" s="1">
        <v>43610</v>
      </c>
      <c r="K1085" t="s">
        <v>5759</v>
      </c>
      <c r="L1085" t="s">
        <v>24</v>
      </c>
      <c r="M1085" t="s">
        <v>5760</v>
      </c>
      <c r="N1085">
        <v>809.93359999999996</v>
      </c>
      <c r="O1085" t="s">
        <v>3520</v>
      </c>
      <c r="P1085" t="s">
        <v>18</v>
      </c>
    </row>
    <row r="1086" spans="1:16" x14ac:dyDescent="0.35">
      <c r="A1086">
        <v>5772938</v>
      </c>
      <c r="B1086" t="s">
        <v>5761</v>
      </c>
      <c r="C1086" t="str">
        <f>"9780128167977"</f>
        <v>9780128167977</v>
      </c>
      <c r="D1086" t="str">
        <f>"9780128167960"</f>
        <v>9780128167960</v>
      </c>
      <c r="E1086" t="s">
        <v>190</v>
      </c>
      <c r="F1086" t="s">
        <v>191</v>
      </c>
      <c r="G1086" s="1">
        <v>43596</v>
      </c>
      <c r="H1086" s="1">
        <v>43601</v>
      </c>
      <c r="K1086" t="s">
        <v>5762</v>
      </c>
      <c r="L1086" t="s">
        <v>105</v>
      </c>
      <c r="M1086" t="s">
        <v>5763</v>
      </c>
      <c r="N1086">
        <v>363.70580000000001</v>
      </c>
      <c r="O1086" t="s">
        <v>5764</v>
      </c>
      <c r="P1086" t="s">
        <v>18</v>
      </c>
    </row>
    <row r="1087" spans="1:16" x14ac:dyDescent="0.35">
      <c r="A1087">
        <v>5771594</v>
      </c>
      <c r="B1087" t="s">
        <v>5765</v>
      </c>
      <c r="C1087" t="str">
        <f>"9780128121115"</f>
        <v>9780128121115</v>
      </c>
      <c r="D1087" t="str">
        <f>"9780128123164"</f>
        <v>9780128123164</v>
      </c>
      <c r="E1087" t="s">
        <v>190</v>
      </c>
      <c r="F1087" t="s">
        <v>190</v>
      </c>
      <c r="G1087" s="1">
        <v>43595</v>
      </c>
      <c r="H1087" s="1">
        <v>43599</v>
      </c>
      <c r="K1087" t="s">
        <v>5766</v>
      </c>
      <c r="L1087" t="s">
        <v>5767</v>
      </c>
      <c r="M1087" t="s">
        <v>5768</v>
      </c>
      <c r="N1087">
        <v>333.79</v>
      </c>
      <c r="P1087" t="s">
        <v>18</v>
      </c>
    </row>
    <row r="1088" spans="1:16" x14ac:dyDescent="0.35">
      <c r="A1088">
        <v>5770968</v>
      </c>
      <c r="B1088" t="s">
        <v>5769</v>
      </c>
      <c r="C1088" t="str">
        <f>"9780128164839"</f>
        <v>9780128164839</v>
      </c>
      <c r="D1088" t="str">
        <f>"9780128175224"</f>
        <v>9780128175224</v>
      </c>
      <c r="E1088" t="s">
        <v>190</v>
      </c>
      <c r="F1088" t="s">
        <v>280</v>
      </c>
      <c r="G1088" s="1">
        <v>43594</v>
      </c>
      <c r="H1088" s="1">
        <v>43595</v>
      </c>
      <c r="K1088" t="s">
        <v>5770</v>
      </c>
      <c r="L1088" t="s">
        <v>5771</v>
      </c>
      <c r="M1088" t="s">
        <v>5772</v>
      </c>
      <c r="N1088">
        <v>630.25149999999996</v>
      </c>
      <c r="P1088" t="s">
        <v>18</v>
      </c>
    </row>
    <row r="1089" spans="1:16" x14ac:dyDescent="0.35">
      <c r="A1089">
        <v>5771781</v>
      </c>
      <c r="B1089" t="s">
        <v>5773</v>
      </c>
      <c r="C1089" t="str">
        <f>"9780128158005"</f>
        <v>9780128158005</v>
      </c>
      <c r="D1089" t="str">
        <f>"9780128162613"</f>
        <v>9780128162613</v>
      </c>
      <c r="E1089" t="s">
        <v>1699</v>
      </c>
      <c r="F1089" t="s">
        <v>1699</v>
      </c>
      <c r="G1089" s="1">
        <v>43594</v>
      </c>
      <c r="H1089" s="1">
        <v>43922</v>
      </c>
      <c r="K1089" t="s">
        <v>5774</v>
      </c>
      <c r="L1089" t="s">
        <v>28</v>
      </c>
      <c r="M1089" t="s">
        <v>5775</v>
      </c>
      <c r="N1089">
        <v>388.47399999999902</v>
      </c>
      <c r="O1089" t="s">
        <v>5776</v>
      </c>
      <c r="P1089" t="s">
        <v>18</v>
      </c>
    </row>
    <row r="1090" spans="1:16" x14ac:dyDescent="0.35">
      <c r="A1090">
        <v>5772531</v>
      </c>
      <c r="B1090" t="s">
        <v>5777</v>
      </c>
      <c r="C1090" t="str">
        <f>"9781527531079"</f>
        <v>9781527531079</v>
      </c>
      <c r="D1090" t="str">
        <f>"9781527534070"</f>
        <v>9781527534070</v>
      </c>
      <c r="E1090" t="s">
        <v>1662</v>
      </c>
      <c r="F1090" t="s">
        <v>1662</v>
      </c>
      <c r="G1090" s="1">
        <v>43592</v>
      </c>
      <c r="H1090" s="1">
        <v>43600</v>
      </c>
      <c r="K1090" t="s">
        <v>5778</v>
      </c>
      <c r="L1090" t="s">
        <v>24</v>
      </c>
      <c r="N1090">
        <v>820.93600000000004</v>
      </c>
      <c r="P1090" t="s">
        <v>18</v>
      </c>
    </row>
    <row r="1091" spans="1:16" x14ac:dyDescent="0.35">
      <c r="A1091">
        <v>5750069</v>
      </c>
      <c r="B1091" t="s">
        <v>5779</v>
      </c>
      <c r="C1091" t="str">
        <f>"9780309485357"</f>
        <v>9780309485357</v>
      </c>
      <c r="D1091" t="str">
        <f>"9780309485364"</f>
        <v>9780309485364</v>
      </c>
      <c r="E1091" t="s">
        <v>531</v>
      </c>
      <c r="F1091" t="s">
        <v>531</v>
      </c>
      <c r="G1091" s="1">
        <v>43590</v>
      </c>
      <c r="H1091" s="1">
        <v>43567</v>
      </c>
      <c r="I1091">
        <v>1</v>
      </c>
      <c r="K1091" t="s">
        <v>5780</v>
      </c>
      <c r="L1091" t="s">
        <v>199</v>
      </c>
      <c r="N1091" t="s">
        <v>5781</v>
      </c>
      <c r="P1091" t="s">
        <v>18</v>
      </c>
    </row>
    <row r="1092" spans="1:16" x14ac:dyDescent="0.35">
      <c r="A1092">
        <v>5746422</v>
      </c>
      <c r="B1092" t="s">
        <v>5782</v>
      </c>
      <c r="C1092" t="str">
        <f>"9781522580850"</f>
        <v>9781522580850</v>
      </c>
      <c r="D1092" t="str">
        <f>"9781522580867"</f>
        <v>9781522580867</v>
      </c>
      <c r="E1092" t="s">
        <v>138</v>
      </c>
      <c r="F1092" t="s">
        <v>1764</v>
      </c>
      <c r="G1092" s="1">
        <v>43588</v>
      </c>
      <c r="H1092" s="1">
        <v>43560</v>
      </c>
      <c r="K1092" t="s">
        <v>5783</v>
      </c>
      <c r="L1092" t="s">
        <v>1934</v>
      </c>
      <c r="M1092" t="s">
        <v>5784</v>
      </c>
      <c r="N1092">
        <v>307.76028500000001</v>
      </c>
      <c r="O1092" t="s">
        <v>4003</v>
      </c>
      <c r="P1092" t="s">
        <v>18</v>
      </c>
    </row>
    <row r="1093" spans="1:16" x14ac:dyDescent="0.35">
      <c r="A1093">
        <v>5751891</v>
      </c>
      <c r="B1093" t="s">
        <v>5785</v>
      </c>
      <c r="C1093" t="str">
        <f>"9781522589808"</f>
        <v>9781522589808</v>
      </c>
      <c r="D1093" t="str">
        <f>"9781522589839"</f>
        <v>9781522589839</v>
      </c>
      <c r="E1093" t="s">
        <v>138</v>
      </c>
      <c r="F1093" t="s">
        <v>1769</v>
      </c>
      <c r="G1093" s="1">
        <v>43588</v>
      </c>
      <c r="H1093" s="1">
        <v>43573</v>
      </c>
      <c r="K1093" t="s">
        <v>5786</v>
      </c>
      <c r="L1093" t="s">
        <v>28</v>
      </c>
      <c r="M1093" t="s">
        <v>5787</v>
      </c>
      <c r="N1093" t="s">
        <v>5788</v>
      </c>
      <c r="O1093" t="s">
        <v>5789</v>
      </c>
      <c r="P1093" t="s">
        <v>18</v>
      </c>
    </row>
    <row r="1094" spans="1:16" x14ac:dyDescent="0.35">
      <c r="A1094">
        <v>5751895</v>
      </c>
      <c r="B1094" t="s">
        <v>5790</v>
      </c>
      <c r="C1094" t="str">
        <f>"9781522585794"</f>
        <v>9781522585794</v>
      </c>
      <c r="D1094" t="str">
        <f>"9781522585817"</f>
        <v>9781522585817</v>
      </c>
      <c r="E1094" t="s">
        <v>138</v>
      </c>
      <c r="F1094" t="s">
        <v>1764</v>
      </c>
      <c r="G1094" s="1">
        <v>43588</v>
      </c>
      <c r="H1094" s="1">
        <v>43573</v>
      </c>
      <c r="K1094" t="s">
        <v>5791</v>
      </c>
      <c r="L1094" t="s">
        <v>5792</v>
      </c>
      <c r="M1094" t="s">
        <v>5793</v>
      </c>
      <c r="N1094" t="s">
        <v>5794</v>
      </c>
      <c r="O1094" t="s">
        <v>5795</v>
      </c>
      <c r="P1094" t="s">
        <v>18</v>
      </c>
    </row>
    <row r="1095" spans="1:16" x14ac:dyDescent="0.35">
      <c r="A1095">
        <v>5754819</v>
      </c>
      <c r="B1095" t="s">
        <v>5796</v>
      </c>
      <c r="C1095" t="str">
        <f>"9781787562165"</f>
        <v>9781787562165</v>
      </c>
      <c r="D1095" t="str">
        <f>"9781787562172"</f>
        <v>9781787562172</v>
      </c>
      <c r="E1095" t="s">
        <v>187</v>
      </c>
      <c r="F1095" t="s">
        <v>187</v>
      </c>
      <c r="G1095" s="1">
        <v>43585</v>
      </c>
      <c r="H1095" s="1">
        <v>43578</v>
      </c>
      <c r="K1095" t="s">
        <v>5797</v>
      </c>
      <c r="L1095" t="s">
        <v>28</v>
      </c>
      <c r="M1095" t="s">
        <v>5798</v>
      </c>
      <c r="N1095">
        <v>658.7</v>
      </c>
      <c r="O1095" t="s">
        <v>5799</v>
      </c>
      <c r="P1095" t="s">
        <v>18</v>
      </c>
    </row>
    <row r="1096" spans="1:16" x14ac:dyDescent="0.35">
      <c r="A1096">
        <v>5760388</v>
      </c>
      <c r="B1096" t="s">
        <v>5800</v>
      </c>
      <c r="C1096" t="str">
        <f>"9781498584227"</f>
        <v>9781498584227</v>
      </c>
      <c r="D1096" t="str">
        <f>"9781498584234"</f>
        <v>9781498584234</v>
      </c>
      <c r="E1096" t="s">
        <v>445</v>
      </c>
      <c r="F1096" t="s">
        <v>445</v>
      </c>
      <c r="G1096" s="1">
        <v>43584</v>
      </c>
      <c r="H1096" s="1">
        <v>43582</v>
      </c>
      <c r="J1096" t="s">
        <v>5801</v>
      </c>
      <c r="K1096" t="s">
        <v>5802</v>
      </c>
      <c r="L1096" t="s">
        <v>38</v>
      </c>
      <c r="N1096">
        <v>304.2</v>
      </c>
      <c r="P1096" t="s">
        <v>18</v>
      </c>
    </row>
    <row r="1097" spans="1:16" x14ac:dyDescent="0.35">
      <c r="A1097">
        <v>5746427</v>
      </c>
      <c r="B1097" t="s">
        <v>5803</v>
      </c>
      <c r="C1097" t="str">
        <f>"9781522579403"</f>
        <v>9781522579403</v>
      </c>
      <c r="D1097" t="str">
        <f>"9781522579410"</f>
        <v>9781522579410</v>
      </c>
      <c r="E1097" t="s">
        <v>138</v>
      </c>
      <c r="F1097" t="s">
        <v>1764</v>
      </c>
      <c r="G1097" s="1">
        <v>43581</v>
      </c>
      <c r="H1097" s="1">
        <v>43560</v>
      </c>
      <c r="K1097" t="s">
        <v>5804</v>
      </c>
      <c r="L1097" t="s">
        <v>168</v>
      </c>
      <c r="M1097" t="s">
        <v>5805</v>
      </c>
      <c r="N1097" t="s">
        <v>5806</v>
      </c>
      <c r="O1097" t="s">
        <v>5807</v>
      </c>
      <c r="P1097" t="s">
        <v>18</v>
      </c>
    </row>
    <row r="1098" spans="1:16" x14ac:dyDescent="0.35">
      <c r="A1098">
        <v>5746439</v>
      </c>
      <c r="B1098" t="s">
        <v>5808</v>
      </c>
      <c r="C1098" t="str">
        <f>"9781522589709"</f>
        <v>9781522589709</v>
      </c>
      <c r="D1098" t="str">
        <f>"9781522589723"</f>
        <v>9781522589723</v>
      </c>
      <c r="E1098" t="s">
        <v>138</v>
      </c>
      <c r="F1098" t="s">
        <v>1769</v>
      </c>
      <c r="G1098" s="1">
        <v>43581</v>
      </c>
      <c r="H1098" s="1">
        <v>43560</v>
      </c>
      <c r="K1098" t="s">
        <v>2522</v>
      </c>
      <c r="L1098" t="s">
        <v>28</v>
      </c>
      <c r="M1098" t="s">
        <v>5809</v>
      </c>
      <c r="N1098" t="s">
        <v>54</v>
      </c>
      <c r="O1098" t="s">
        <v>5810</v>
      </c>
      <c r="P1098" t="s">
        <v>18</v>
      </c>
    </row>
    <row r="1099" spans="1:16" x14ac:dyDescent="0.35">
      <c r="A1099">
        <v>5759558</v>
      </c>
      <c r="B1099" t="s">
        <v>5811</v>
      </c>
      <c r="C1099" t="str">
        <f>"9781522576389"</f>
        <v>9781522576389</v>
      </c>
      <c r="D1099" t="str">
        <f>"9781522576396"</f>
        <v>9781522576396</v>
      </c>
      <c r="E1099" t="s">
        <v>138</v>
      </c>
      <c r="F1099" t="s">
        <v>1769</v>
      </c>
      <c r="G1099" s="1">
        <v>43574</v>
      </c>
      <c r="H1099" s="1">
        <v>43581</v>
      </c>
      <c r="K1099" t="s">
        <v>5812</v>
      </c>
      <c r="L1099" t="s">
        <v>28</v>
      </c>
      <c r="M1099" t="s">
        <v>5813</v>
      </c>
      <c r="N1099" t="s">
        <v>54</v>
      </c>
      <c r="O1099" t="s">
        <v>5814</v>
      </c>
      <c r="P1099" t="s">
        <v>18</v>
      </c>
    </row>
    <row r="1100" spans="1:16" x14ac:dyDescent="0.35">
      <c r="A1100">
        <v>5730868</v>
      </c>
      <c r="B1100" t="s">
        <v>5815</v>
      </c>
      <c r="C1100" t="str">
        <f>"9780309484527"</f>
        <v>9780309484527</v>
      </c>
      <c r="D1100" t="str">
        <f>"9780309484534"</f>
        <v>9780309484534</v>
      </c>
      <c r="E1100" t="s">
        <v>531</v>
      </c>
      <c r="F1100" t="s">
        <v>531</v>
      </c>
      <c r="G1100" s="1">
        <v>43563</v>
      </c>
      <c r="H1100" s="1">
        <v>43539</v>
      </c>
      <c r="I1100">
        <v>1</v>
      </c>
      <c r="K1100" t="s">
        <v>5816</v>
      </c>
      <c r="L1100" t="s">
        <v>104</v>
      </c>
      <c r="N1100" t="s">
        <v>5817</v>
      </c>
      <c r="P1100" t="s">
        <v>18</v>
      </c>
    </row>
    <row r="1101" spans="1:16" x14ac:dyDescent="0.35">
      <c r="A1101">
        <v>5649204</v>
      </c>
      <c r="B1101" t="s">
        <v>5818</v>
      </c>
      <c r="C1101" t="str">
        <f>""</f>
        <v/>
      </c>
      <c r="D1101" t="str">
        <f>"9781522567035"</f>
        <v>9781522567035</v>
      </c>
      <c r="E1101" t="s">
        <v>138</v>
      </c>
      <c r="F1101" t="s">
        <v>138</v>
      </c>
      <c r="G1101" s="1">
        <v>43556</v>
      </c>
      <c r="H1101" s="1">
        <v>43491</v>
      </c>
      <c r="K1101" t="s">
        <v>2410</v>
      </c>
      <c r="L1101" t="s">
        <v>38</v>
      </c>
      <c r="M1101" t="s">
        <v>5344</v>
      </c>
      <c r="N1101">
        <v>305</v>
      </c>
      <c r="O1101" t="s">
        <v>5819</v>
      </c>
      <c r="P1101" t="s">
        <v>18</v>
      </c>
    </row>
    <row r="1102" spans="1:16" x14ac:dyDescent="0.35">
      <c r="A1102">
        <v>5674755</v>
      </c>
      <c r="B1102" t="s">
        <v>5820</v>
      </c>
      <c r="C1102" t="str">
        <f>"9781527524026"</f>
        <v>9781527524026</v>
      </c>
      <c r="D1102" t="str">
        <f>"9781527527614"</f>
        <v>9781527527614</v>
      </c>
      <c r="E1102" t="s">
        <v>1662</v>
      </c>
      <c r="F1102" t="s">
        <v>1662</v>
      </c>
      <c r="G1102" s="1">
        <v>43556</v>
      </c>
      <c r="H1102" s="1">
        <v>43502</v>
      </c>
      <c r="K1102" t="s">
        <v>5821</v>
      </c>
      <c r="L1102" t="s">
        <v>257</v>
      </c>
      <c r="M1102" t="s">
        <v>5822</v>
      </c>
      <c r="N1102">
        <v>304.2</v>
      </c>
      <c r="O1102" t="s">
        <v>5823</v>
      </c>
      <c r="P1102" t="s">
        <v>18</v>
      </c>
    </row>
    <row r="1103" spans="1:16" x14ac:dyDescent="0.35">
      <c r="A1103">
        <v>5734481</v>
      </c>
      <c r="B1103" t="s">
        <v>5824</v>
      </c>
      <c r="C1103" t="str">
        <f>"9781440859298"</f>
        <v>9781440859298</v>
      </c>
      <c r="D1103" t="str">
        <f>"9781440859304"</f>
        <v>9781440859304</v>
      </c>
      <c r="E1103" t="s">
        <v>440</v>
      </c>
      <c r="F1103" t="s">
        <v>440</v>
      </c>
      <c r="G1103" s="1">
        <v>43556</v>
      </c>
      <c r="H1103" s="1">
        <v>43544</v>
      </c>
      <c r="J1103" t="s">
        <v>5825</v>
      </c>
      <c r="K1103" t="s">
        <v>4799</v>
      </c>
      <c r="L1103" t="s">
        <v>66</v>
      </c>
      <c r="M1103" t="s">
        <v>5826</v>
      </c>
      <c r="N1103">
        <v>333.7</v>
      </c>
      <c r="O1103" t="s">
        <v>5827</v>
      </c>
      <c r="P1103" t="s">
        <v>18</v>
      </c>
    </row>
    <row r="1104" spans="1:16" x14ac:dyDescent="0.35">
      <c r="A1104">
        <v>5773063</v>
      </c>
      <c r="B1104" t="s">
        <v>5828</v>
      </c>
      <c r="C1104" t="str">
        <f>""</f>
        <v/>
      </c>
      <c r="D1104" t="str">
        <f>"9781522568070"</f>
        <v>9781522568070</v>
      </c>
      <c r="E1104" t="s">
        <v>138</v>
      </c>
      <c r="F1104" t="s">
        <v>138</v>
      </c>
      <c r="G1104" s="1">
        <v>43556</v>
      </c>
      <c r="H1104" s="1">
        <v>43601</v>
      </c>
      <c r="K1104" t="s">
        <v>3292</v>
      </c>
      <c r="L1104" t="s">
        <v>26</v>
      </c>
      <c r="M1104" t="s">
        <v>5829</v>
      </c>
      <c r="N1104">
        <v>338.92700000000002</v>
      </c>
      <c r="O1104" t="s">
        <v>5830</v>
      </c>
      <c r="P1104" t="s">
        <v>18</v>
      </c>
    </row>
    <row r="1105" spans="1:16" x14ac:dyDescent="0.35">
      <c r="A1105">
        <v>5741315</v>
      </c>
      <c r="B1105" t="s">
        <v>5831</v>
      </c>
      <c r="C1105" t="str">
        <f>"9781784714628"</f>
        <v>9781784714628</v>
      </c>
      <c r="D1105" t="str">
        <f>"9781784714635"</f>
        <v>9781784714635</v>
      </c>
      <c r="E1105" t="s">
        <v>2080</v>
      </c>
      <c r="F1105" t="s">
        <v>2080</v>
      </c>
      <c r="G1105" s="1">
        <v>43553</v>
      </c>
      <c r="H1105" s="1">
        <v>43551</v>
      </c>
      <c r="J1105" t="s">
        <v>4051</v>
      </c>
      <c r="K1105" t="s">
        <v>5832</v>
      </c>
      <c r="L1105" t="s">
        <v>23</v>
      </c>
      <c r="M1105" t="s">
        <v>5833</v>
      </c>
      <c r="N1105">
        <v>346.09199999999998</v>
      </c>
      <c r="O1105" t="s">
        <v>3733</v>
      </c>
      <c r="P1105" t="s">
        <v>18</v>
      </c>
    </row>
    <row r="1106" spans="1:16" x14ac:dyDescent="0.35">
      <c r="A1106">
        <v>5741326</v>
      </c>
      <c r="B1106" t="s">
        <v>5834</v>
      </c>
      <c r="C1106" t="str">
        <f>"9781786434265"</f>
        <v>9781786434265</v>
      </c>
      <c r="D1106" t="str">
        <f>"9781786434272"</f>
        <v>9781786434272</v>
      </c>
      <c r="E1106" t="s">
        <v>2080</v>
      </c>
      <c r="F1106" t="s">
        <v>2080</v>
      </c>
      <c r="G1106" s="1">
        <v>43553</v>
      </c>
      <c r="H1106" s="1">
        <v>43551</v>
      </c>
      <c r="J1106" t="s">
        <v>2081</v>
      </c>
      <c r="K1106" t="s">
        <v>5835</v>
      </c>
      <c r="L1106" t="s">
        <v>28</v>
      </c>
      <c r="M1106" t="s">
        <v>5836</v>
      </c>
      <c r="N1106">
        <v>658.7</v>
      </c>
      <c r="O1106" t="s">
        <v>5837</v>
      </c>
      <c r="P1106" t="s">
        <v>18</v>
      </c>
    </row>
    <row r="1107" spans="1:16" x14ac:dyDescent="0.35">
      <c r="A1107">
        <v>5717500</v>
      </c>
      <c r="B1107" t="s">
        <v>5838</v>
      </c>
      <c r="C1107" t="str">
        <f>"9789004391697"</f>
        <v>9789004391697</v>
      </c>
      <c r="D1107" t="str">
        <f>"9789004391703"</f>
        <v>9789004391703</v>
      </c>
      <c r="E1107" t="s">
        <v>228</v>
      </c>
      <c r="F1107" t="s">
        <v>228</v>
      </c>
      <c r="G1107" s="1">
        <v>43552</v>
      </c>
      <c r="H1107" s="1">
        <v>43518</v>
      </c>
      <c r="I1107">
        <v>1</v>
      </c>
      <c r="K1107" t="s">
        <v>5839</v>
      </c>
      <c r="L1107" t="s">
        <v>23</v>
      </c>
      <c r="M1107" t="s">
        <v>5840</v>
      </c>
      <c r="N1107">
        <v>346.04695615999998</v>
      </c>
      <c r="O1107" t="s">
        <v>5841</v>
      </c>
      <c r="P1107" t="s">
        <v>18</v>
      </c>
    </row>
    <row r="1108" spans="1:16" x14ac:dyDescent="0.35">
      <c r="A1108">
        <v>5746430</v>
      </c>
      <c r="B1108" t="s">
        <v>5842</v>
      </c>
      <c r="C1108" t="str">
        <f>"9781522579588"</f>
        <v>9781522579588</v>
      </c>
      <c r="D1108" t="str">
        <f>"9781522579595"</f>
        <v>9781522579595</v>
      </c>
      <c r="E1108" t="s">
        <v>138</v>
      </c>
      <c r="F1108" t="s">
        <v>1764</v>
      </c>
      <c r="G1108" s="1">
        <v>43546</v>
      </c>
      <c r="H1108" s="1">
        <v>43560</v>
      </c>
      <c r="K1108" t="s">
        <v>5843</v>
      </c>
      <c r="L1108" t="s">
        <v>172</v>
      </c>
      <c r="M1108" t="s">
        <v>5844</v>
      </c>
      <c r="N1108">
        <v>577.55999999999995</v>
      </c>
      <c r="O1108" t="s">
        <v>5845</v>
      </c>
      <c r="P1108" t="s">
        <v>18</v>
      </c>
    </row>
    <row r="1109" spans="1:16" x14ac:dyDescent="0.35">
      <c r="A1109">
        <v>5242325</v>
      </c>
      <c r="B1109" t="s">
        <v>5846</v>
      </c>
      <c r="C1109" t="str">
        <f>"9789386606150"</f>
        <v>9789386606150</v>
      </c>
      <c r="D1109" t="str">
        <f>"9789386643025"</f>
        <v>9789386643025</v>
      </c>
      <c r="E1109" t="s">
        <v>3409</v>
      </c>
      <c r="F1109" t="s">
        <v>3409</v>
      </c>
      <c r="G1109" s="1">
        <v>43543</v>
      </c>
      <c r="H1109" s="1">
        <v>43126</v>
      </c>
      <c r="K1109" t="s">
        <v>5847</v>
      </c>
      <c r="L1109" t="s">
        <v>38</v>
      </c>
      <c r="M1109" t="s">
        <v>5848</v>
      </c>
      <c r="N1109">
        <v>307.12160284999999</v>
      </c>
      <c r="O1109" t="s">
        <v>5849</v>
      </c>
      <c r="P1109" t="s">
        <v>18</v>
      </c>
    </row>
    <row r="1110" spans="1:16" x14ac:dyDescent="0.35">
      <c r="A1110">
        <v>5734428</v>
      </c>
      <c r="B1110" t="s">
        <v>5850</v>
      </c>
      <c r="C1110" t="str">
        <f>"9780128167823"</f>
        <v>9780128167823</v>
      </c>
      <c r="D1110" t="str">
        <f>"9780128168400"</f>
        <v>9780128168400</v>
      </c>
      <c r="E1110" t="s">
        <v>190</v>
      </c>
      <c r="F1110" t="s">
        <v>282</v>
      </c>
      <c r="G1110" s="1">
        <v>43543</v>
      </c>
      <c r="H1110" s="1">
        <v>43544</v>
      </c>
      <c r="K1110" t="s">
        <v>5851</v>
      </c>
      <c r="L1110" t="s">
        <v>1796</v>
      </c>
      <c r="M1110" t="s">
        <v>5852</v>
      </c>
      <c r="N1110">
        <v>628</v>
      </c>
      <c r="O1110" t="s">
        <v>2476</v>
      </c>
      <c r="P1110" t="s">
        <v>18</v>
      </c>
    </row>
    <row r="1111" spans="1:16" x14ac:dyDescent="0.35">
      <c r="A1111">
        <v>5738777</v>
      </c>
      <c r="B1111" t="s">
        <v>5853</v>
      </c>
      <c r="C1111" t="str">
        <f>"9780444641915"</f>
        <v>9780444641915</v>
      </c>
      <c r="D1111" t="str">
        <f>"9780444642813"</f>
        <v>9780444642813</v>
      </c>
      <c r="E1111" t="s">
        <v>1699</v>
      </c>
      <c r="F1111" t="s">
        <v>1699</v>
      </c>
      <c r="G1111" s="1">
        <v>43543</v>
      </c>
      <c r="H1111" s="1">
        <v>43546</v>
      </c>
      <c r="K1111" t="s">
        <v>5854</v>
      </c>
      <c r="L1111" t="s">
        <v>168</v>
      </c>
      <c r="M1111" t="s">
        <v>5855</v>
      </c>
      <c r="N1111">
        <v>631.52</v>
      </c>
      <c r="O1111" t="s">
        <v>5856</v>
      </c>
      <c r="P1111" t="s">
        <v>18</v>
      </c>
    </row>
    <row r="1112" spans="1:16" x14ac:dyDescent="0.35">
      <c r="A1112">
        <v>5725956</v>
      </c>
      <c r="B1112" t="s">
        <v>5857</v>
      </c>
      <c r="C1112" t="str">
        <f>"9780128181782"</f>
        <v>9780128181782</v>
      </c>
      <c r="D1112" t="str">
        <f>"9780128181799"</f>
        <v>9780128181799</v>
      </c>
      <c r="E1112" t="s">
        <v>1699</v>
      </c>
      <c r="F1112" t="s">
        <v>1699</v>
      </c>
      <c r="G1112" s="1">
        <v>43532</v>
      </c>
      <c r="H1112" s="1">
        <v>43533</v>
      </c>
      <c r="K1112" t="s">
        <v>5858</v>
      </c>
      <c r="L1112" t="s">
        <v>5859</v>
      </c>
      <c r="M1112" t="s">
        <v>5860</v>
      </c>
      <c r="N1112">
        <v>662.88</v>
      </c>
      <c r="O1112" t="s">
        <v>5861</v>
      </c>
      <c r="P1112" t="s">
        <v>18</v>
      </c>
    </row>
    <row r="1113" spans="1:16" x14ac:dyDescent="0.35">
      <c r="A1113">
        <v>5749929</v>
      </c>
      <c r="B1113" t="s">
        <v>5862</v>
      </c>
      <c r="C1113" t="str">
        <f>"9789813274433"</f>
        <v>9789813274433</v>
      </c>
      <c r="D1113" t="str">
        <f>"9789813274440"</f>
        <v>9789813274440</v>
      </c>
      <c r="E1113" t="s">
        <v>184</v>
      </c>
      <c r="F1113" t="s">
        <v>185</v>
      </c>
      <c r="G1113" s="1">
        <v>43532</v>
      </c>
      <c r="H1113" s="1">
        <v>43567</v>
      </c>
      <c r="J1113" t="s">
        <v>4921</v>
      </c>
      <c r="K1113" t="s">
        <v>5863</v>
      </c>
      <c r="L1113" t="s">
        <v>76</v>
      </c>
      <c r="M1113" t="s">
        <v>5864</v>
      </c>
      <c r="N1113" t="s">
        <v>5865</v>
      </c>
      <c r="O1113" t="s">
        <v>5866</v>
      </c>
      <c r="P1113" t="s">
        <v>18</v>
      </c>
    </row>
    <row r="1114" spans="1:16" x14ac:dyDescent="0.35">
      <c r="A1114">
        <v>5761126</v>
      </c>
      <c r="B1114" t="s">
        <v>5867</v>
      </c>
      <c r="C1114" t="str">
        <f>"9781493037414"</f>
        <v>9781493037414</v>
      </c>
      <c r="D1114" t="str">
        <f>"9781493037421"</f>
        <v>9781493037421</v>
      </c>
      <c r="E1114" t="s">
        <v>4373</v>
      </c>
      <c r="F1114" t="s">
        <v>4373</v>
      </c>
      <c r="G1114" s="1">
        <v>43525</v>
      </c>
      <c r="H1114" s="1">
        <v>43584</v>
      </c>
      <c r="K1114" t="s">
        <v>5868</v>
      </c>
      <c r="L1114" t="s">
        <v>534</v>
      </c>
      <c r="M1114" t="s">
        <v>5869</v>
      </c>
      <c r="N1114">
        <v>799.10973000000001</v>
      </c>
      <c r="O1114" t="s">
        <v>5870</v>
      </c>
      <c r="P1114" t="s">
        <v>18</v>
      </c>
    </row>
    <row r="1115" spans="1:16" x14ac:dyDescent="0.35">
      <c r="A1115">
        <v>5639372</v>
      </c>
      <c r="B1115" t="s">
        <v>5871</v>
      </c>
      <c r="C1115" t="str">
        <f>"9780749484187"</f>
        <v>9780749484187</v>
      </c>
      <c r="D1115" t="str">
        <f>"9780749484194"</f>
        <v>9780749484194</v>
      </c>
      <c r="E1115" t="s">
        <v>215</v>
      </c>
      <c r="F1115" t="s">
        <v>215</v>
      </c>
      <c r="G1115" s="1">
        <v>43522</v>
      </c>
      <c r="H1115" s="1">
        <v>43485</v>
      </c>
      <c r="I1115">
        <v>2</v>
      </c>
      <c r="K1115" t="s">
        <v>5872</v>
      </c>
      <c r="L1115" t="s">
        <v>28</v>
      </c>
      <c r="M1115" t="s">
        <v>5873</v>
      </c>
      <c r="N1115">
        <v>658.81200000000001</v>
      </c>
      <c r="O1115" t="s">
        <v>5874</v>
      </c>
      <c r="P1115" t="s">
        <v>18</v>
      </c>
    </row>
    <row r="1116" spans="1:16" x14ac:dyDescent="0.35">
      <c r="A1116">
        <v>5675574</v>
      </c>
      <c r="B1116" t="s">
        <v>5875</v>
      </c>
      <c r="C1116" t="str">
        <f>"9783035712025"</f>
        <v>9783035712025</v>
      </c>
      <c r="D1116" t="str">
        <f>"9783035732023"</f>
        <v>9783035732023</v>
      </c>
      <c r="E1116" t="s">
        <v>1649</v>
      </c>
      <c r="F1116" t="s">
        <v>1649</v>
      </c>
      <c r="G1116" s="1">
        <v>43521</v>
      </c>
      <c r="H1116" s="1">
        <v>43504</v>
      </c>
      <c r="I1116">
        <v>1</v>
      </c>
      <c r="J1116" t="s">
        <v>4195</v>
      </c>
      <c r="K1116" t="s">
        <v>5876</v>
      </c>
      <c r="L1116" t="s">
        <v>222</v>
      </c>
      <c r="P1116" t="s">
        <v>18</v>
      </c>
    </row>
    <row r="1117" spans="1:16" x14ac:dyDescent="0.35">
      <c r="A1117">
        <v>5646164</v>
      </c>
      <c r="B1117" t="s">
        <v>5877</v>
      </c>
      <c r="C1117" t="str">
        <f>"9781442257733"</f>
        <v>9781442257733</v>
      </c>
      <c r="D1117" t="str">
        <f>"9781442257740"</f>
        <v>9781442257740</v>
      </c>
      <c r="E1117" t="s">
        <v>443</v>
      </c>
      <c r="F1117" t="s">
        <v>443</v>
      </c>
      <c r="G1117" s="1">
        <v>43518</v>
      </c>
      <c r="H1117" s="1">
        <v>43490</v>
      </c>
      <c r="J1117" t="s">
        <v>5878</v>
      </c>
      <c r="K1117" t="s">
        <v>5879</v>
      </c>
      <c r="L1117" t="s">
        <v>38</v>
      </c>
      <c r="M1117" t="s">
        <v>5880</v>
      </c>
      <c r="N1117">
        <v>394.12</v>
      </c>
      <c r="O1117" t="s">
        <v>5881</v>
      </c>
      <c r="P1117" t="s">
        <v>18</v>
      </c>
    </row>
    <row r="1118" spans="1:16" x14ac:dyDescent="0.35">
      <c r="A1118">
        <v>5649176</v>
      </c>
      <c r="B1118" t="s">
        <v>5882</v>
      </c>
      <c r="C1118" t="str">
        <f>"9780309483360"</f>
        <v>9780309483360</v>
      </c>
      <c r="D1118" t="str">
        <f>"9780309483377"</f>
        <v>9780309483377</v>
      </c>
      <c r="E1118" t="s">
        <v>531</v>
      </c>
      <c r="F1118" t="s">
        <v>531</v>
      </c>
      <c r="G1118" s="1">
        <v>43518</v>
      </c>
      <c r="H1118" s="1">
        <v>43491</v>
      </c>
      <c r="I1118">
        <v>1</v>
      </c>
      <c r="K1118" t="s">
        <v>5883</v>
      </c>
      <c r="L1118" t="s">
        <v>5884</v>
      </c>
      <c r="P1118" t="s">
        <v>18</v>
      </c>
    </row>
    <row r="1119" spans="1:16" x14ac:dyDescent="0.35">
      <c r="A1119">
        <v>5655829</v>
      </c>
      <c r="B1119" t="s">
        <v>5885</v>
      </c>
      <c r="C1119" t="str">
        <f>"9781522573968"</f>
        <v>9781522573968</v>
      </c>
      <c r="D1119" t="str">
        <f>"9781522573975"</f>
        <v>9781522573975</v>
      </c>
      <c r="E1119" t="s">
        <v>138</v>
      </c>
      <c r="F1119" t="s">
        <v>1764</v>
      </c>
      <c r="G1119" s="1">
        <v>43518</v>
      </c>
      <c r="H1119" s="1">
        <v>43498</v>
      </c>
      <c r="K1119" t="s">
        <v>5886</v>
      </c>
      <c r="L1119" t="s">
        <v>28</v>
      </c>
      <c r="M1119" t="s">
        <v>5887</v>
      </c>
      <c r="N1119">
        <v>388.09730000000002</v>
      </c>
      <c r="O1119" t="s">
        <v>5888</v>
      </c>
      <c r="P1119" t="s">
        <v>18</v>
      </c>
    </row>
    <row r="1120" spans="1:16" x14ac:dyDescent="0.35">
      <c r="A1120">
        <v>5709640</v>
      </c>
      <c r="B1120" t="s">
        <v>5889</v>
      </c>
      <c r="C1120" t="str">
        <f>"9781522570837"</f>
        <v>9781522570837</v>
      </c>
      <c r="D1120" t="str">
        <f>"9781522570851"</f>
        <v>9781522570851</v>
      </c>
      <c r="E1120" t="s">
        <v>138</v>
      </c>
      <c r="F1120" t="s">
        <v>1764</v>
      </c>
      <c r="G1120" s="1">
        <v>43518</v>
      </c>
      <c r="H1120" s="1">
        <v>43512</v>
      </c>
      <c r="K1120" t="s">
        <v>5890</v>
      </c>
      <c r="L1120" t="s">
        <v>33</v>
      </c>
      <c r="M1120" t="s">
        <v>5891</v>
      </c>
      <c r="N1120" t="s">
        <v>5892</v>
      </c>
      <c r="O1120" t="s">
        <v>5893</v>
      </c>
      <c r="P1120" t="s">
        <v>18</v>
      </c>
    </row>
    <row r="1121" spans="1:16" x14ac:dyDescent="0.35">
      <c r="A1121">
        <v>5584093</v>
      </c>
      <c r="B1121" t="s">
        <v>5894</v>
      </c>
      <c r="C1121" t="str">
        <f>"9781350058132"</f>
        <v>9781350058132</v>
      </c>
      <c r="D1121" t="str">
        <f>"9781350058163"</f>
        <v>9781350058163</v>
      </c>
      <c r="E1121" t="s">
        <v>539</v>
      </c>
      <c r="F1121" t="s">
        <v>540</v>
      </c>
      <c r="G1121" s="1">
        <v>43517</v>
      </c>
      <c r="H1121" s="1">
        <v>43415</v>
      </c>
      <c r="K1121" t="s">
        <v>5895</v>
      </c>
      <c r="L1121" t="s">
        <v>27</v>
      </c>
      <c r="M1121" t="s">
        <v>5896</v>
      </c>
      <c r="N1121" t="s">
        <v>468</v>
      </c>
      <c r="O1121" t="s">
        <v>5897</v>
      </c>
      <c r="P1121" t="s">
        <v>18</v>
      </c>
    </row>
    <row r="1122" spans="1:16" x14ac:dyDescent="0.35">
      <c r="A1122">
        <v>5717539</v>
      </c>
      <c r="B1122" t="s">
        <v>5898</v>
      </c>
      <c r="C1122" t="str">
        <f>"9780128168356"</f>
        <v>9780128168356</v>
      </c>
      <c r="D1122" t="str">
        <f>"9780128168363"</f>
        <v>9780128168363</v>
      </c>
      <c r="E1122" t="s">
        <v>190</v>
      </c>
      <c r="F1122" t="s">
        <v>191</v>
      </c>
      <c r="G1122" s="1">
        <v>43517</v>
      </c>
      <c r="H1122" s="1">
        <v>43518</v>
      </c>
      <c r="K1122" t="s">
        <v>5899</v>
      </c>
      <c r="L1122" t="s">
        <v>66</v>
      </c>
      <c r="M1122" t="s">
        <v>5900</v>
      </c>
      <c r="N1122">
        <v>333.79</v>
      </c>
      <c r="O1122" t="s">
        <v>5901</v>
      </c>
      <c r="P1122" t="s">
        <v>18</v>
      </c>
    </row>
    <row r="1123" spans="1:16" x14ac:dyDescent="0.35">
      <c r="A1123">
        <v>5716907</v>
      </c>
      <c r="B1123" t="s">
        <v>5902</v>
      </c>
      <c r="C1123" t="str">
        <f>"9780128135860"</f>
        <v>9780128135860</v>
      </c>
      <c r="D1123" t="str">
        <f>"9780128135877"</f>
        <v>9780128135877</v>
      </c>
      <c r="E1123" t="s">
        <v>190</v>
      </c>
      <c r="F1123" t="s">
        <v>191</v>
      </c>
      <c r="G1123" s="1">
        <v>43515</v>
      </c>
      <c r="H1123" s="1">
        <v>43517</v>
      </c>
      <c r="J1123" t="s">
        <v>291</v>
      </c>
      <c r="K1123" t="s">
        <v>5903</v>
      </c>
      <c r="L1123" t="s">
        <v>208</v>
      </c>
      <c r="M1123" t="s">
        <v>5904</v>
      </c>
      <c r="N1123">
        <v>620.5</v>
      </c>
      <c r="O1123" t="s">
        <v>5905</v>
      </c>
      <c r="P1123" t="s">
        <v>18</v>
      </c>
    </row>
    <row r="1124" spans="1:16" x14ac:dyDescent="0.35">
      <c r="A1124">
        <v>5718913</v>
      </c>
      <c r="B1124" t="s">
        <v>5906</v>
      </c>
      <c r="C1124" t="str">
        <f>"9781527527867"</f>
        <v>9781527527867</v>
      </c>
      <c r="D1124" t="str">
        <f>"9781527529335"</f>
        <v>9781527529335</v>
      </c>
      <c r="E1124" t="s">
        <v>1662</v>
      </c>
      <c r="F1124" t="s">
        <v>1662</v>
      </c>
      <c r="G1124" s="1">
        <v>43515</v>
      </c>
      <c r="H1124" s="1">
        <v>43520</v>
      </c>
      <c r="K1124" t="s">
        <v>5907</v>
      </c>
      <c r="L1124" t="s">
        <v>41</v>
      </c>
      <c r="M1124" t="s">
        <v>5908</v>
      </c>
      <c r="N1124">
        <v>338.92700000000002</v>
      </c>
      <c r="O1124" t="s">
        <v>5082</v>
      </c>
      <c r="P1124" t="s">
        <v>18</v>
      </c>
    </row>
    <row r="1125" spans="1:16" x14ac:dyDescent="0.35">
      <c r="A1125">
        <v>5651383</v>
      </c>
      <c r="B1125" t="s">
        <v>5909</v>
      </c>
      <c r="C1125" t="str">
        <f>"9781538116777"</f>
        <v>9781538116777</v>
      </c>
      <c r="D1125" t="str">
        <f>"9781538116791"</f>
        <v>9781538116791</v>
      </c>
      <c r="E1125" t="s">
        <v>443</v>
      </c>
      <c r="F1125" t="s">
        <v>443</v>
      </c>
      <c r="G1125" s="1">
        <v>43514</v>
      </c>
      <c r="H1125" s="1">
        <v>43495</v>
      </c>
      <c r="I1125">
        <v>4</v>
      </c>
      <c r="K1125" t="s">
        <v>5910</v>
      </c>
      <c r="L1125" t="s">
        <v>199</v>
      </c>
      <c r="M1125" t="s">
        <v>5911</v>
      </c>
      <c r="N1125">
        <v>333.72</v>
      </c>
      <c r="O1125" t="s">
        <v>5912</v>
      </c>
      <c r="P1125" t="s">
        <v>18</v>
      </c>
    </row>
    <row r="1126" spans="1:16" x14ac:dyDescent="0.35">
      <c r="A1126">
        <v>5649190</v>
      </c>
      <c r="B1126" t="s">
        <v>5913</v>
      </c>
      <c r="C1126" t="str">
        <f>"9781522577157"</f>
        <v>9781522577157</v>
      </c>
      <c r="D1126" t="str">
        <f>"9781522577171"</f>
        <v>9781522577171</v>
      </c>
      <c r="E1126" t="s">
        <v>138</v>
      </c>
      <c r="F1126" t="s">
        <v>1769</v>
      </c>
      <c r="G1126" s="1">
        <v>43511</v>
      </c>
      <c r="H1126" s="1">
        <v>43491</v>
      </c>
      <c r="K1126" t="s">
        <v>5914</v>
      </c>
      <c r="L1126" t="s">
        <v>28</v>
      </c>
      <c r="M1126" t="s">
        <v>2004</v>
      </c>
      <c r="N1126" t="s">
        <v>54</v>
      </c>
      <c r="O1126" t="s">
        <v>5915</v>
      </c>
      <c r="P1126" t="s">
        <v>18</v>
      </c>
    </row>
    <row r="1127" spans="1:16" x14ac:dyDescent="0.35">
      <c r="A1127">
        <v>5703984</v>
      </c>
      <c r="B1127" t="s">
        <v>5916</v>
      </c>
      <c r="C1127" t="str">
        <f>"9780444641274"</f>
        <v>9780444641274</v>
      </c>
      <c r="D1127" t="str">
        <f>"9780444641472"</f>
        <v>9780444641472</v>
      </c>
      <c r="E1127" t="s">
        <v>1699</v>
      </c>
      <c r="F1127" t="s">
        <v>1699</v>
      </c>
      <c r="G1127" s="1">
        <v>43511</v>
      </c>
      <c r="H1127" s="1">
        <v>43511</v>
      </c>
      <c r="J1127" t="s">
        <v>291</v>
      </c>
      <c r="K1127" t="s">
        <v>5917</v>
      </c>
      <c r="L1127" t="s">
        <v>76</v>
      </c>
      <c r="M1127" t="s">
        <v>5918</v>
      </c>
      <c r="N1127">
        <v>660.29949999999997</v>
      </c>
      <c r="O1127" t="s">
        <v>5919</v>
      </c>
      <c r="P1127" t="s">
        <v>18</v>
      </c>
    </row>
    <row r="1128" spans="1:16" x14ac:dyDescent="0.35">
      <c r="A1128">
        <v>5718906</v>
      </c>
      <c r="B1128" t="s">
        <v>5920</v>
      </c>
      <c r="C1128" t="str">
        <f>"9781527524477"</f>
        <v>9781527524477</v>
      </c>
      <c r="D1128" t="str">
        <f>"9781527528123"</f>
        <v>9781527528123</v>
      </c>
      <c r="E1128" t="s">
        <v>1662</v>
      </c>
      <c r="F1128" t="s">
        <v>1662</v>
      </c>
      <c r="G1128" s="1">
        <v>43509</v>
      </c>
      <c r="H1128" s="1">
        <v>43520</v>
      </c>
      <c r="K1128" t="s">
        <v>2419</v>
      </c>
      <c r="L1128" t="s">
        <v>275</v>
      </c>
      <c r="M1128" t="s">
        <v>5921</v>
      </c>
      <c r="N1128">
        <v>333.91</v>
      </c>
      <c r="O1128" t="s">
        <v>5922</v>
      </c>
      <c r="P1128" t="s">
        <v>18</v>
      </c>
    </row>
    <row r="1129" spans="1:16" x14ac:dyDescent="0.35">
      <c r="A1129">
        <v>5760283</v>
      </c>
      <c r="B1129" t="s">
        <v>5923</v>
      </c>
      <c r="C1129" t="str">
        <f>"9781498528443"</f>
        <v>9781498528443</v>
      </c>
      <c r="D1129" t="str">
        <f>"9781498528450"</f>
        <v>9781498528450</v>
      </c>
      <c r="E1129" t="s">
        <v>445</v>
      </c>
      <c r="F1129" t="s">
        <v>445</v>
      </c>
      <c r="G1129" s="1">
        <v>43508</v>
      </c>
      <c r="H1129" s="1">
        <v>43582</v>
      </c>
      <c r="K1129" t="s">
        <v>5924</v>
      </c>
      <c r="L1129" t="s">
        <v>401</v>
      </c>
      <c r="M1129" t="s">
        <v>5925</v>
      </c>
      <c r="N1129">
        <v>700.10299999999995</v>
      </c>
      <c r="O1129" t="s">
        <v>5926</v>
      </c>
      <c r="P1129" t="s">
        <v>18</v>
      </c>
    </row>
    <row r="1130" spans="1:16" x14ac:dyDescent="0.35">
      <c r="A1130">
        <v>5526197</v>
      </c>
      <c r="B1130" t="s">
        <v>5927</v>
      </c>
      <c r="C1130" t="str">
        <f>"9781472957641"</f>
        <v>9781472957641</v>
      </c>
      <c r="D1130" t="str">
        <f>"9781472957658"</f>
        <v>9781472957658</v>
      </c>
      <c r="E1130" t="s">
        <v>354</v>
      </c>
      <c r="F1130" t="s">
        <v>354</v>
      </c>
      <c r="G1130" s="1">
        <v>43501</v>
      </c>
      <c r="H1130" s="1">
        <v>43371</v>
      </c>
      <c r="K1130" t="s">
        <v>5928</v>
      </c>
      <c r="L1130" t="s">
        <v>28</v>
      </c>
      <c r="M1130" t="s">
        <v>5929</v>
      </c>
      <c r="N1130">
        <v>658.40920000000006</v>
      </c>
      <c r="O1130" t="s">
        <v>5930</v>
      </c>
      <c r="P1130" t="s">
        <v>18</v>
      </c>
    </row>
    <row r="1131" spans="1:16" x14ac:dyDescent="0.35">
      <c r="A1131">
        <v>5674781</v>
      </c>
      <c r="B1131" t="s">
        <v>5931</v>
      </c>
      <c r="C1131" t="str">
        <f>""</f>
        <v/>
      </c>
      <c r="D1131" t="str">
        <f>"9781527527300"</f>
        <v>9781527527300</v>
      </c>
      <c r="E1131" t="s">
        <v>1662</v>
      </c>
      <c r="F1131" t="s">
        <v>1662</v>
      </c>
      <c r="G1131" s="1">
        <v>43496</v>
      </c>
      <c r="H1131" s="1">
        <v>43502</v>
      </c>
      <c r="K1131" t="s">
        <v>5932</v>
      </c>
      <c r="L1131" t="s">
        <v>27</v>
      </c>
      <c r="M1131" t="s">
        <v>5933</v>
      </c>
      <c r="N1131">
        <v>709.5</v>
      </c>
      <c r="O1131" t="s">
        <v>5934</v>
      </c>
      <c r="P1131" t="s">
        <v>18</v>
      </c>
    </row>
    <row r="1132" spans="1:16" x14ac:dyDescent="0.35">
      <c r="A1132">
        <v>5645952</v>
      </c>
      <c r="B1132" t="s">
        <v>5935</v>
      </c>
      <c r="C1132" t="str">
        <f>"9781786437266"</f>
        <v>9781786437266</v>
      </c>
      <c r="D1132" t="str">
        <f>"9781786437273"</f>
        <v>9781786437273</v>
      </c>
      <c r="E1132" t="s">
        <v>2080</v>
      </c>
      <c r="F1132" t="s">
        <v>2080</v>
      </c>
      <c r="G1132" s="1">
        <v>43490</v>
      </c>
      <c r="H1132" s="1">
        <v>43489</v>
      </c>
      <c r="J1132" t="s">
        <v>5936</v>
      </c>
      <c r="K1132" t="s">
        <v>5937</v>
      </c>
      <c r="L1132" t="s">
        <v>180</v>
      </c>
      <c r="M1132" t="s">
        <v>5938</v>
      </c>
      <c r="N1132">
        <v>338.92709729000001</v>
      </c>
      <c r="O1132" t="s">
        <v>5939</v>
      </c>
      <c r="P1132" t="s">
        <v>18</v>
      </c>
    </row>
    <row r="1133" spans="1:16" x14ac:dyDescent="0.35">
      <c r="A1133">
        <v>5632443</v>
      </c>
      <c r="B1133" t="s">
        <v>5940</v>
      </c>
      <c r="C1133" t="str">
        <f>"9781522578086"</f>
        <v>9781522578086</v>
      </c>
      <c r="D1133" t="str">
        <f>"9781522578093"</f>
        <v>9781522578093</v>
      </c>
      <c r="E1133" t="s">
        <v>138</v>
      </c>
      <c r="F1133" t="s">
        <v>1769</v>
      </c>
      <c r="G1133" s="1">
        <v>43487</v>
      </c>
      <c r="H1133" s="1">
        <v>43480</v>
      </c>
      <c r="K1133" t="s">
        <v>5941</v>
      </c>
      <c r="L1133" t="s">
        <v>41</v>
      </c>
      <c r="M1133" t="s">
        <v>5942</v>
      </c>
      <c r="N1133">
        <v>332</v>
      </c>
      <c r="O1133" t="s">
        <v>5943</v>
      </c>
      <c r="P1133" t="s">
        <v>18</v>
      </c>
    </row>
    <row r="1134" spans="1:16" x14ac:dyDescent="0.35">
      <c r="A1134">
        <v>6234607</v>
      </c>
      <c r="B1134" t="s">
        <v>5944</v>
      </c>
      <c r="C1134" t="str">
        <f>"9781137530493"</f>
        <v>9781137530493</v>
      </c>
      <c r="D1134" t="str">
        <f>"9781137530592"</f>
        <v>9781137530592</v>
      </c>
      <c r="E1134" t="s">
        <v>354</v>
      </c>
      <c r="F1134" t="s">
        <v>355</v>
      </c>
      <c r="G1134" s="1">
        <v>43487</v>
      </c>
      <c r="H1134" s="1">
        <v>44016</v>
      </c>
      <c r="J1134" t="s">
        <v>5945</v>
      </c>
      <c r="K1134" t="s">
        <v>5946</v>
      </c>
      <c r="L1134" t="s">
        <v>28</v>
      </c>
      <c r="M1134" t="s">
        <v>371</v>
      </c>
      <c r="N1134">
        <v>658.3</v>
      </c>
      <c r="O1134" t="s">
        <v>5947</v>
      </c>
      <c r="P1134" t="s">
        <v>18</v>
      </c>
    </row>
    <row r="1135" spans="1:16" x14ac:dyDescent="0.35">
      <c r="A1135">
        <v>5627237</v>
      </c>
      <c r="B1135" t="s">
        <v>5948</v>
      </c>
      <c r="C1135" t="str">
        <f>"9781522581093"</f>
        <v>9781522581093</v>
      </c>
      <c r="D1135" t="str">
        <f>"9781522581109"</f>
        <v>9781522581109</v>
      </c>
      <c r="E1135" t="s">
        <v>138</v>
      </c>
      <c r="F1135" t="s">
        <v>1769</v>
      </c>
      <c r="G1135" s="1">
        <v>43483</v>
      </c>
      <c r="H1135" s="1">
        <v>43467</v>
      </c>
      <c r="K1135" t="s">
        <v>2522</v>
      </c>
      <c r="L1135" t="s">
        <v>41</v>
      </c>
      <c r="M1135" t="s">
        <v>5949</v>
      </c>
      <c r="N1135" t="s">
        <v>128</v>
      </c>
      <c r="O1135" t="s">
        <v>503</v>
      </c>
      <c r="P1135" t="s">
        <v>18</v>
      </c>
    </row>
    <row r="1136" spans="1:16" x14ac:dyDescent="0.35">
      <c r="A1136">
        <v>5639036</v>
      </c>
      <c r="B1136" t="s">
        <v>5950</v>
      </c>
      <c r="C1136" t="str">
        <f>"9781522579342"</f>
        <v>9781522579342</v>
      </c>
      <c r="D1136" t="str">
        <f>"9781522579366"</f>
        <v>9781522579366</v>
      </c>
      <c r="E1136" t="s">
        <v>138</v>
      </c>
      <c r="F1136" t="s">
        <v>1764</v>
      </c>
      <c r="G1136" s="1">
        <v>43483</v>
      </c>
      <c r="H1136" s="1">
        <v>43485</v>
      </c>
      <c r="K1136" t="s">
        <v>5951</v>
      </c>
      <c r="L1136" t="s">
        <v>379</v>
      </c>
      <c r="M1136" t="s">
        <v>5952</v>
      </c>
      <c r="N1136">
        <v>338.10972900000002</v>
      </c>
      <c r="O1136" t="s">
        <v>5953</v>
      </c>
      <c r="P1136" t="s">
        <v>18</v>
      </c>
    </row>
    <row r="1137" spans="1:16" x14ac:dyDescent="0.35">
      <c r="A1137">
        <v>5683899</v>
      </c>
      <c r="B1137" t="s">
        <v>5954</v>
      </c>
      <c r="C1137" t="str">
        <f>"9781536148664"</f>
        <v>9781536148664</v>
      </c>
      <c r="D1137" t="str">
        <f>"9781536148671"</f>
        <v>9781536148671</v>
      </c>
      <c r="E1137" t="s">
        <v>1689</v>
      </c>
      <c r="F1137" t="s">
        <v>1689</v>
      </c>
      <c r="G1137" s="1">
        <v>43482</v>
      </c>
      <c r="H1137" s="1">
        <v>43505</v>
      </c>
      <c r="I1137">
        <v>1</v>
      </c>
      <c r="J1137" t="s">
        <v>2794</v>
      </c>
      <c r="K1137" t="s">
        <v>5955</v>
      </c>
      <c r="L1137" t="s">
        <v>5956</v>
      </c>
      <c r="P1137" t="s">
        <v>18</v>
      </c>
    </row>
    <row r="1138" spans="1:16" x14ac:dyDescent="0.35">
      <c r="A1138">
        <v>5633144</v>
      </c>
      <c r="B1138" t="s">
        <v>5957</v>
      </c>
      <c r="C1138" t="str">
        <f>"9780128127827"</f>
        <v>9780128127827</v>
      </c>
      <c r="D1138" t="str">
        <f>"9780128127834"</f>
        <v>9780128127834</v>
      </c>
      <c r="E1138" t="s">
        <v>1699</v>
      </c>
      <c r="F1138" t="s">
        <v>1699</v>
      </c>
      <c r="G1138" s="1">
        <v>43481</v>
      </c>
      <c r="H1138" s="1">
        <v>43481</v>
      </c>
      <c r="K1138" t="s">
        <v>5958</v>
      </c>
      <c r="L1138" t="s">
        <v>5959</v>
      </c>
      <c r="M1138" t="s">
        <v>5960</v>
      </c>
      <c r="N1138">
        <v>333.91009539999999</v>
      </c>
      <c r="O1138" t="s">
        <v>5961</v>
      </c>
      <c r="P1138" t="s">
        <v>18</v>
      </c>
    </row>
    <row r="1139" spans="1:16" x14ac:dyDescent="0.35">
      <c r="A1139">
        <v>5567838</v>
      </c>
      <c r="B1139" t="s">
        <v>5962</v>
      </c>
      <c r="C1139" t="str">
        <f>"9781786995131"</f>
        <v>9781786995131</v>
      </c>
      <c r="D1139" t="str">
        <f>"9781786995155"</f>
        <v>9781786995155</v>
      </c>
      <c r="E1139" t="s">
        <v>392</v>
      </c>
      <c r="F1139" t="s">
        <v>393</v>
      </c>
      <c r="G1139" s="1">
        <v>43480</v>
      </c>
      <c r="H1139" s="1">
        <v>43400</v>
      </c>
      <c r="I1139">
        <v>1</v>
      </c>
      <c r="K1139" t="s">
        <v>5963</v>
      </c>
      <c r="L1139" t="s">
        <v>45</v>
      </c>
      <c r="M1139" t="s">
        <v>5964</v>
      </c>
      <c r="N1139">
        <v>940.5</v>
      </c>
      <c r="O1139" t="s">
        <v>5965</v>
      </c>
      <c r="P1139" t="s">
        <v>18</v>
      </c>
    </row>
    <row r="1140" spans="1:16" x14ac:dyDescent="0.35">
      <c r="A1140">
        <v>5628749</v>
      </c>
      <c r="B1140" t="s">
        <v>5966</v>
      </c>
      <c r="C1140" t="str">
        <f>"9780128117491"</f>
        <v>9780128117491</v>
      </c>
      <c r="D1140" t="str">
        <f>"9780128117507"</f>
        <v>9780128117507</v>
      </c>
      <c r="E1140" t="s">
        <v>190</v>
      </c>
      <c r="F1140" t="s">
        <v>282</v>
      </c>
      <c r="G1140" s="1">
        <v>43474</v>
      </c>
      <c r="H1140" s="1">
        <v>43470</v>
      </c>
      <c r="K1140" t="s">
        <v>5967</v>
      </c>
      <c r="L1140" t="s">
        <v>84</v>
      </c>
      <c r="M1140" t="s">
        <v>5968</v>
      </c>
      <c r="N1140">
        <v>690.02859999999998</v>
      </c>
      <c r="O1140" t="s">
        <v>5969</v>
      </c>
      <c r="P1140" t="s">
        <v>18</v>
      </c>
    </row>
    <row r="1141" spans="1:16" x14ac:dyDescent="0.35">
      <c r="A1141">
        <v>5629759</v>
      </c>
      <c r="B1141" t="s">
        <v>5970</v>
      </c>
      <c r="C1141" t="str">
        <f>"9780081009857"</f>
        <v>9780081009857</v>
      </c>
      <c r="D1141" t="str">
        <f>"9780081009918"</f>
        <v>9780081009918</v>
      </c>
      <c r="E1141" t="s">
        <v>190</v>
      </c>
      <c r="F1141" t="s">
        <v>280</v>
      </c>
      <c r="G1141" s="1">
        <v>43474</v>
      </c>
      <c r="H1141" s="1">
        <v>43473</v>
      </c>
      <c r="J1141" t="s">
        <v>487</v>
      </c>
      <c r="K1141" t="s">
        <v>5971</v>
      </c>
      <c r="L1141" t="s">
        <v>478</v>
      </c>
      <c r="M1141" t="s">
        <v>5972</v>
      </c>
      <c r="N1141">
        <v>691.02859999999998</v>
      </c>
      <c r="O1141" t="s">
        <v>5973</v>
      </c>
      <c r="P1141" t="s">
        <v>18</v>
      </c>
    </row>
    <row r="1142" spans="1:16" x14ac:dyDescent="0.35">
      <c r="A1142">
        <v>5602430</v>
      </c>
      <c r="B1142" t="s">
        <v>5974</v>
      </c>
      <c r="C1142" t="str">
        <f>"9780128126875"</f>
        <v>9780128126875</v>
      </c>
      <c r="D1142" t="str">
        <f>"9780128126882"</f>
        <v>9780128126882</v>
      </c>
      <c r="E1142" t="s">
        <v>1699</v>
      </c>
      <c r="F1142" t="s">
        <v>1699</v>
      </c>
      <c r="G1142" s="1">
        <v>43472</v>
      </c>
      <c r="H1142" s="1">
        <v>43427</v>
      </c>
      <c r="K1142" t="s">
        <v>5975</v>
      </c>
      <c r="L1142" t="s">
        <v>5976</v>
      </c>
      <c r="M1142" t="s">
        <v>5977</v>
      </c>
      <c r="N1142">
        <v>338.19</v>
      </c>
      <c r="P1142" t="s">
        <v>18</v>
      </c>
    </row>
    <row r="1143" spans="1:16" x14ac:dyDescent="0.35">
      <c r="A1143">
        <v>5549005</v>
      </c>
      <c r="B1143" t="s">
        <v>5978</v>
      </c>
      <c r="C1143" t="str">
        <f>""</f>
        <v/>
      </c>
      <c r="D1143" t="str">
        <f>"9781522567028"</f>
        <v>9781522567028</v>
      </c>
      <c r="E1143" t="s">
        <v>138</v>
      </c>
      <c r="F1143" t="s">
        <v>138</v>
      </c>
      <c r="G1143" s="1">
        <v>43466</v>
      </c>
      <c r="H1143" s="1">
        <v>43385</v>
      </c>
      <c r="K1143" t="s">
        <v>2410</v>
      </c>
      <c r="L1143" t="s">
        <v>38</v>
      </c>
      <c r="M1143" t="s">
        <v>5344</v>
      </c>
      <c r="N1143">
        <v>305</v>
      </c>
      <c r="O1143" t="s">
        <v>3714</v>
      </c>
      <c r="P1143" t="s">
        <v>18</v>
      </c>
    </row>
    <row r="1144" spans="1:16" x14ac:dyDescent="0.35">
      <c r="A1144">
        <v>5606551</v>
      </c>
      <c r="B1144" t="s">
        <v>5979</v>
      </c>
      <c r="C1144" t="str">
        <f>""</f>
        <v/>
      </c>
      <c r="D1144" t="str">
        <f>"9781522568063"</f>
        <v>9781522568063</v>
      </c>
      <c r="E1144" t="s">
        <v>138</v>
      </c>
      <c r="F1144" t="s">
        <v>138</v>
      </c>
      <c r="G1144" s="1">
        <v>43466</v>
      </c>
      <c r="H1144" s="1">
        <v>43434</v>
      </c>
      <c r="K1144" t="s">
        <v>3292</v>
      </c>
      <c r="L1144" t="s">
        <v>5980</v>
      </c>
      <c r="P1144" t="s">
        <v>18</v>
      </c>
    </row>
    <row r="1145" spans="1:16" x14ac:dyDescent="0.35">
      <c r="A1145">
        <v>5773040</v>
      </c>
      <c r="B1145" t="s">
        <v>5981</v>
      </c>
      <c r="C1145" t="str">
        <f>""</f>
        <v/>
      </c>
      <c r="D1145" t="str">
        <f>"9781522568629"</f>
        <v>9781522568629</v>
      </c>
      <c r="E1145" t="s">
        <v>138</v>
      </c>
      <c r="F1145" t="s">
        <v>138</v>
      </c>
      <c r="G1145" s="1">
        <v>43466</v>
      </c>
      <c r="H1145" s="1">
        <v>43601</v>
      </c>
      <c r="K1145" t="s">
        <v>4898</v>
      </c>
      <c r="L1145" t="s">
        <v>283</v>
      </c>
      <c r="P1145" t="s">
        <v>18</v>
      </c>
    </row>
    <row r="1146" spans="1:16" x14ac:dyDescent="0.35">
      <c r="A1146">
        <v>6028770</v>
      </c>
      <c r="B1146" t="s">
        <v>5982</v>
      </c>
      <c r="C1146" t="str">
        <f>"9781536146653"</f>
        <v>9781536146653</v>
      </c>
      <c r="D1146" t="str">
        <f>"9781536146660"</f>
        <v>9781536146660</v>
      </c>
      <c r="E1146" t="s">
        <v>1689</v>
      </c>
      <c r="F1146" t="s">
        <v>1689</v>
      </c>
      <c r="G1146" s="1">
        <v>43466</v>
      </c>
      <c r="H1146" s="1">
        <v>43858</v>
      </c>
      <c r="I1146">
        <v>1</v>
      </c>
      <c r="J1146" t="s">
        <v>3130</v>
      </c>
      <c r="K1146" t="s">
        <v>5983</v>
      </c>
      <c r="L1146" t="s">
        <v>105</v>
      </c>
      <c r="P1146" t="s">
        <v>18</v>
      </c>
    </row>
    <row r="1147" spans="1:16" x14ac:dyDescent="0.35">
      <c r="A1147">
        <v>5607641</v>
      </c>
      <c r="B1147" t="s">
        <v>5984</v>
      </c>
      <c r="C1147" t="str">
        <f>"9781522569541"</f>
        <v>9781522569541</v>
      </c>
      <c r="D1147" t="str">
        <f>"9781522569558"</f>
        <v>9781522569558</v>
      </c>
      <c r="E1147" t="s">
        <v>138</v>
      </c>
      <c r="F1147" t="s">
        <v>1769</v>
      </c>
      <c r="G1147" s="1">
        <v>43462</v>
      </c>
      <c r="H1147" s="1">
        <v>43436</v>
      </c>
      <c r="K1147" t="s">
        <v>5985</v>
      </c>
      <c r="L1147" t="s">
        <v>28</v>
      </c>
      <c r="M1147" t="s">
        <v>5986</v>
      </c>
      <c r="P1147" t="s">
        <v>18</v>
      </c>
    </row>
    <row r="1148" spans="1:16" x14ac:dyDescent="0.35">
      <c r="A1148">
        <v>5614492</v>
      </c>
      <c r="B1148" t="s">
        <v>5987</v>
      </c>
      <c r="C1148" t="str">
        <f>"9781522573500"</f>
        <v>9781522573500</v>
      </c>
      <c r="D1148" t="str">
        <f>"9781522573517"</f>
        <v>9781522573517</v>
      </c>
      <c r="E1148" t="s">
        <v>138</v>
      </c>
      <c r="F1148" t="s">
        <v>1769</v>
      </c>
      <c r="G1148" s="1">
        <v>43462</v>
      </c>
      <c r="H1148" s="1">
        <v>43449</v>
      </c>
      <c r="K1148" t="s">
        <v>5988</v>
      </c>
      <c r="L1148" t="s">
        <v>41</v>
      </c>
      <c r="M1148" t="s">
        <v>5989</v>
      </c>
      <c r="N1148" t="s">
        <v>5990</v>
      </c>
      <c r="O1148" t="s">
        <v>5991</v>
      </c>
      <c r="P1148" t="s">
        <v>18</v>
      </c>
    </row>
    <row r="1149" spans="1:16" x14ac:dyDescent="0.35">
      <c r="A1149">
        <v>5614537</v>
      </c>
      <c r="B1149" t="s">
        <v>5992</v>
      </c>
      <c r="C1149" t="str">
        <f>"9781788114660"</f>
        <v>9781788114660</v>
      </c>
      <c r="D1149" t="str">
        <f>"9781788114677"</f>
        <v>9781788114677</v>
      </c>
      <c r="E1149" t="s">
        <v>2080</v>
      </c>
      <c r="F1149" t="s">
        <v>2080</v>
      </c>
      <c r="G1149" s="1">
        <v>43462</v>
      </c>
      <c r="H1149" s="1">
        <v>43449</v>
      </c>
      <c r="J1149" t="s">
        <v>2632</v>
      </c>
      <c r="K1149" t="s">
        <v>5993</v>
      </c>
      <c r="L1149" t="s">
        <v>23</v>
      </c>
      <c r="M1149" t="s">
        <v>5994</v>
      </c>
      <c r="N1149">
        <v>344.04599999999999</v>
      </c>
      <c r="O1149" t="s">
        <v>3733</v>
      </c>
      <c r="P1149" t="s">
        <v>18</v>
      </c>
    </row>
    <row r="1150" spans="1:16" x14ac:dyDescent="0.35">
      <c r="A1150">
        <v>5704461</v>
      </c>
      <c r="B1150" t="s">
        <v>5995</v>
      </c>
      <c r="C1150" t="str">
        <f>"9781433137648"</f>
        <v>9781433137648</v>
      </c>
      <c r="D1150" t="str">
        <f>"9781433137655"</f>
        <v>9781433137655</v>
      </c>
      <c r="E1150" t="s">
        <v>2335</v>
      </c>
      <c r="F1150" t="s">
        <v>2335</v>
      </c>
      <c r="G1150" s="1">
        <v>43462</v>
      </c>
      <c r="H1150" s="1">
        <v>43512</v>
      </c>
      <c r="I1150">
        <v>1</v>
      </c>
      <c r="K1150" t="s">
        <v>5996</v>
      </c>
      <c r="L1150" t="s">
        <v>24</v>
      </c>
      <c r="M1150" t="s">
        <v>5997</v>
      </c>
      <c r="N1150">
        <v>811.54</v>
      </c>
      <c r="O1150" t="s">
        <v>5998</v>
      </c>
      <c r="P1150" t="s">
        <v>18</v>
      </c>
    </row>
    <row r="1151" spans="1:16" x14ac:dyDescent="0.35">
      <c r="A1151">
        <v>5611589</v>
      </c>
      <c r="B1151" t="s">
        <v>5999</v>
      </c>
      <c r="C1151" t="str">
        <f>"9781786608147"</f>
        <v>9781786608147</v>
      </c>
      <c r="D1151" t="str">
        <f>"9781786608154"</f>
        <v>9781786608154</v>
      </c>
      <c r="E1151" t="s">
        <v>443</v>
      </c>
      <c r="F1151" t="s">
        <v>443</v>
      </c>
      <c r="G1151" s="1">
        <v>43451</v>
      </c>
      <c r="H1151" s="1">
        <v>43443</v>
      </c>
      <c r="I1151">
        <v>1</v>
      </c>
      <c r="K1151" t="s">
        <v>6000</v>
      </c>
      <c r="L1151" t="s">
        <v>33</v>
      </c>
      <c r="M1151" t="s">
        <v>6001</v>
      </c>
      <c r="N1151">
        <v>320.01100000000002</v>
      </c>
      <c r="O1151" t="s">
        <v>6002</v>
      </c>
      <c r="P1151" t="s">
        <v>18</v>
      </c>
    </row>
    <row r="1152" spans="1:16" x14ac:dyDescent="0.35">
      <c r="A1152">
        <v>5613450</v>
      </c>
      <c r="B1152" t="s">
        <v>6003</v>
      </c>
      <c r="C1152" t="str">
        <f>"9780128152591"</f>
        <v>9780128152591</v>
      </c>
      <c r="D1152" t="str">
        <f>"9780128156995"</f>
        <v>9780128156995</v>
      </c>
      <c r="E1152" t="s">
        <v>190</v>
      </c>
      <c r="F1152" t="s">
        <v>280</v>
      </c>
      <c r="G1152" s="1">
        <v>43444</v>
      </c>
      <c r="H1152" s="1">
        <v>43447</v>
      </c>
      <c r="K1152" t="s">
        <v>6004</v>
      </c>
      <c r="L1152" t="s">
        <v>6005</v>
      </c>
      <c r="M1152" t="s">
        <v>6006</v>
      </c>
      <c r="N1152">
        <v>663</v>
      </c>
      <c r="O1152" t="s">
        <v>6007</v>
      </c>
      <c r="P1152" t="s">
        <v>18</v>
      </c>
    </row>
    <row r="1153" spans="1:16" x14ac:dyDescent="0.35">
      <c r="A1153">
        <v>5725243</v>
      </c>
      <c r="B1153" t="s">
        <v>6008</v>
      </c>
      <c r="C1153" t="str">
        <f>"9789813236967"</f>
        <v>9789813236967</v>
      </c>
      <c r="D1153" t="str">
        <f>"9789813236974"</f>
        <v>9789813236974</v>
      </c>
      <c r="E1153" t="s">
        <v>184</v>
      </c>
      <c r="F1153" t="s">
        <v>185</v>
      </c>
      <c r="G1153" s="1">
        <v>43442</v>
      </c>
      <c r="H1153" s="1">
        <v>43532</v>
      </c>
      <c r="K1153" t="s">
        <v>425</v>
      </c>
      <c r="L1153" t="s">
        <v>426</v>
      </c>
      <c r="M1153" t="s">
        <v>6009</v>
      </c>
      <c r="N1153" t="s">
        <v>6010</v>
      </c>
      <c r="O1153" t="s">
        <v>6011</v>
      </c>
      <c r="P1153" t="s">
        <v>18</v>
      </c>
    </row>
    <row r="1154" spans="1:16" x14ac:dyDescent="0.35">
      <c r="A1154">
        <v>5598812</v>
      </c>
      <c r="B1154" t="s">
        <v>6012</v>
      </c>
      <c r="C1154" t="str">
        <f>"9781522575047"</f>
        <v>9781522575047</v>
      </c>
      <c r="D1154" t="str">
        <f>"9781522575054"</f>
        <v>9781522575054</v>
      </c>
      <c r="E1154" t="s">
        <v>138</v>
      </c>
      <c r="F1154" t="s">
        <v>1769</v>
      </c>
      <c r="G1154" s="1">
        <v>43441</v>
      </c>
      <c r="H1154" s="1">
        <v>43422</v>
      </c>
      <c r="K1154" t="s">
        <v>1999</v>
      </c>
      <c r="L1154" t="s">
        <v>271</v>
      </c>
      <c r="M1154" t="s">
        <v>6013</v>
      </c>
      <c r="P1154" t="s">
        <v>18</v>
      </c>
    </row>
    <row r="1155" spans="1:16" x14ac:dyDescent="0.35">
      <c r="A1155">
        <v>5609782</v>
      </c>
      <c r="B1155" t="s">
        <v>6014</v>
      </c>
      <c r="C1155" t="str">
        <f>"9780081027288"</f>
        <v>9780081027288</v>
      </c>
      <c r="D1155" t="str">
        <f>"9780081027776"</f>
        <v>9780081027776</v>
      </c>
      <c r="E1155" t="s">
        <v>190</v>
      </c>
      <c r="F1155" t="s">
        <v>280</v>
      </c>
      <c r="G1155" s="1">
        <v>43441</v>
      </c>
      <c r="H1155" s="1">
        <v>43440</v>
      </c>
      <c r="J1155" t="s">
        <v>3018</v>
      </c>
      <c r="K1155" t="s">
        <v>6015</v>
      </c>
      <c r="L1155" t="s">
        <v>6016</v>
      </c>
      <c r="M1155" t="s">
        <v>6017</v>
      </c>
      <c r="N1155">
        <v>662.88</v>
      </c>
      <c r="P1155" t="s">
        <v>18</v>
      </c>
    </row>
    <row r="1156" spans="1:16" x14ac:dyDescent="0.35">
      <c r="A1156">
        <v>5611463</v>
      </c>
      <c r="B1156" t="s">
        <v>6018</v>
      </c>
      <c r="C1156" t="str">
        <f>"9780128121344"</f>
        <v>9780128121344</v>
      </c>
      <c r="D1156" t="str">
        <f>"9780128121351"</f>
        <v>9780128121351</v>
      </c>
      <c r="E1156" t="s">
        <v>190</v>
      </c>
      <c r="F1156" t="s">
        <v>191</v>
      </c>
      <c r="G1156" s="1">
        <v>43441</v>
      </c>
      <c r="H1156" s="1">
        <v>43442</v>
      </c>
      <c r="K1156" t="s">
        <v>6019</v>
      </c>
      <c r="L1156" t="s">
        <v>229</v>
      </c>
      <c r="M1156" t="s">
        <v>6020</v>
      </c>
      <c r="N1156">
        <v>338.19</v>
      </c>
      <c r="P1156" t="s">
        <v>18</v>
      </c>
    </row>
    <row r="1157" spans="1:16" x14ac:dyDescent="0.35">
      <c r="A1157">
        <v>5614563</v>
      </c>
      <c r="B1157" t="s">
        <v>6021</v>
      </c>
      <c r="C1157" t="str">
        <f>"9781522577270"</f>
        <v>9781522577270</v>
      </c>
      <c r="D1157" t="str">
        <f>"9781522577294"</f>
        <v>9781522577294</v>
      </c>
      <c r="E1157" t="s">
        <v>138</v>
      </c>
      <c r="F1157" t="s">
        <v>1764</v>
      </c>
      <c r="G1157" s="1">
        <v>43441</v>
      </c>
      <c r="H1157" s="1">
        <v>43847</v>
      </c>
      <c r="K1157" t="s">
        <v>6022</v>
      </c>
      <c r="L1157" t="s">
        <v>39</v>
      </c>
      <c r="M1157" t="s">
        <v>6023</v>
      </c>
      <c r="N1157">
        <v>333.70710000000003</v>
      </c>
      <c r="O1157" t="s">
        <v>6024</v>
      </c>
      <c r="P1157" t="s">
        <v>18</v>
      </c>
    </row>
    <row r="1158" spans="1:16" x14ac:dyDescent="0.35">
      <c r="A1158">
        <v>5609767</v>
      </c>
      <c r="B1158" t="s">
        <v>6025</v>
      </c>
      <c r="C1158" t="str">
        <f>"9780128148976"</f>
        <v>9780128148976</v>
      </c>
      <c r="D1158" t="str">
        <f>"9780128148983"</f>
        <v>9780128148983</v>
      </c>
      <c r="E1158" t="s">
        <v>1699</v>
      </c>
      <c r="F1158" t="s">
        <v>1699</v>
      </c>
      <c r="G1158" s="1">
        <v>43440</v>
      </c>
      <c r="H1158" s="1">
        <v>43440</v>
      </c>
      <c r="K1158" t="s">
        <v>6026</v>
      </c>
      <c r="L1158" t="s">
        <v>89</v>
      </c>
      <c r="M1158" t="s">
        <v>6027</v>
      </c>
      <c r="N1158">
        <v>307.1216</v>
      </c>
      <c r="O1158" t="s">
        <v>6028</v>
      </c>
      <c r="P1158" t="s">
        <v>18</v>
      </c>
    </row>
    <row r="1159" spans="1:16" x14ac:dyDescent="0.35">
      <c r="A1159">
        <v>5611120</v>
      </c>
      <c r="B1159" t="s">
        <v>6029</v>
      </c>
      <c r="C1159" t="str">
        <f>"9780128139127"</f>
        <v>9780128139127</v>
      </c>
      <c r="D1159" t="str">
        <f>"9780128139134"</f>
        <v>9780128139134</v>
      </c>
      <c r="E1159" t="s">
        <v>1699</v>
      </c>
      <c r="F1159" t="s">
        <v>1699</v>
      </c>
      <c r="G1159" s="1">
        <v>43440</v>
      </c>
      <c r="H1159" s="1">
        <v>43441</v>
      </c>
      <c r="K1159" t="s">
        <v>6030</v>
      </c>
      <c r="L1159" t="s">
        <v>113</v>
      </c>
      <c r="M1159" t="s">
        <v>6031</v>
      </c>
      <c r="N1159">
        <v>628.5</v>
      </c>
      <c r="P1159" t="s">
        <v>18</v>
      </c>
    </row>
    <row r="1160" spans="1:16" x14ac:dyDescent="0.35">
      <c r="A1160">
        <v>5607525</v>
      </c>
      <c r="B1160" t="s">
        <v>6032</v>
      </c>
      <c r="C1160" t="str">
        <f>"9780128148648"</f>
        <v>9780128148648</v>
      </c>
      <c r="D1160" t="str">
        <f>"9780128148655"</f>
        <v>9780128148655</v>
      </c>
      <c r="E1160" t="s">
        <v>190</v>
      </c>
      <c r="F1160" t="s">
        <v>191</v>
      </c>
      <c r="G1160" s="1">
        <v>43439</v>
      </c>
      <c r="H1160" s="1">
        <v>43435</v>
      </c>
      <c r="K1160" t="s">
        <v>6033</v>
      </c>
      <c r="L1160" t="s">
        <v>6034</v>
      </c>
      <c r="M1160" t="s">
        <v>6035</v>
      </c>
      <c r="N1160">
        <v>571.95466199999998</v>
      </c>
      <c r="P1160" t="s">
        <v>18</v>
      </c>
    </row>
    <row r="1161" spans="1:16" x14ac:dyDescent="0.35">
      <c r="A1161">
        <v>5606157</v>
      </c>
      <c r="B1161" t="s">
        <v>6036</v>
      </c>
      <c r="C1161" t="str">
        <f>"9780128131060"</f>
        <v>9780128131060</v>
      </c>
      <c r="D1161" t="str">
        <f>"9780128131077"</f>
        <v>9780128131077</v>
      </c>
      <c r="E1161" t="s">
        <v>190</v>
      </c>
      <c r="F1161" t="s">
        <v>191</v>
      </c>
      <c r="G1161" s="1">
        <v>43437</v>
      </c>
      <c r="H1161" s="1">
        <v>43433</v>
      </c>
      <c r="K1161" t="s">
        <v>6037</v>
      </c>
      <c r="L1161" t="s">
        <v>6038</v>
      </c>
      <c r="M1161" t="s">
        <v>6039</v>
      </c>
      <c r="N1161">
        <v>333.79409509999999</v>
      </c>
      <c r="O1161" t="s">
        <v>6040</v>
      </c>
      <c r="P1161" t="s">
        <v>18</v>
      </c>
    </row>
    <row r="1162" spans="1:16" x14ac:dyDescent="0.35">
      <c r="A1162">
        <v>5603082</v>
      </c>
      <c r="B1162" t="s">
        <v>6041</v>
      </c>
      <c r="C1162" t="str">
        <f>"9780128132722"</f>
        <v>9780128132722</v>
      </c>
      <c r="D1162" t="str">
        <f>"9780128132739"</f>
        <v>9780128132739</v>
      </c>
      <c r="E1162" t="s">
        <v>190</v>
      </c>
      <c r="F1162" t="s">
        <v>280</v>
      </c>
      <c r="G1162" s="1">
        <v>43434</v>
      </c>
      <c r="H1162" s="1">
        <v>43430</v>
      </c>
      <c r="J1162" t="s">
        <v>491</v>
      </c>
      <c r="K1162" t="s">
        <v>6042</v>
      </c>
      <c r="L1162" t="s">
        <v>168</v>
      </c>
      <c r="M1162" t="s">
        <v>6043</v>
      </c>
      <c r="N1162">
        <v>631.58399999999995</v>
      </c>
      <c r="O1162" t="s">
        <v>6044</v>
      </c>
      <c r="P1162" t="s">
        <v>18</v>
      </c>
    </row>
    <row r="1163" spans="1:16" x14ac:dyDescent="0.35">
      <c r="A1163">
        <v>5613239</v>
      </c>
      <c r="B1163" t="s">
        <v>6045</v>
      </c>
      <c r="C1163" t="str">
        <f>"9781788113809"</f>
        <v>9781788113809</v>
      </c>
      <c r="D1163" t="str">
        <f>"9781788113816"</f>
        <v>9781788113816</v>
      </c>
      <c r="E1163" t="s">
        <v>2080</v>
      </c>
      <c r="F1163" t="s">
        <v>2080</v>
      </c>
      <c r="G1163" s="1">
        <v>43434</v>
      </c>
      <c r="H1163" s="1">
        <v>43447</v>
      </c>
      <c r="K1163" t="s">
        <v>6046</v>
      </c>
      <c r="L1163" t="s">
        <v>86</v>
      </c>
      <c r="M1163" t="s">
        <v>6047</v>
      </c>
      <c r="N1163">
        <v>333.91140000000001</v>
      </c>
      <c r="O1163" t="s">
        <v>6048</v>
      </c>
      <c r="P1163" t="s">
        <v>18</v>
      </c>
    </row>
    <row r="1164" spans="1:16" x14ac:dyDescent="0.35">
      <c r="A1164">
        <v>5606670</v>
      </c>
      <c r="B1164" t="s">
        <v>6049</v>
      </c>
      <c r="C1164" t="str">
        <f>"9780081025796"</f>
        <v>9780081025796</v>
      </c>
      <c r="D1164" t="str">
        <f>"9780081025802"</f>
        <v>9780081025802</v>
      </c>
      <c r="E1164" t="s">
        <v>1699</v>
      </c>
      <c r="F1164" t="s">
        <v>1699</v>
      </c>
      <c r="G1164" s="1">
        <v>43433</v>
      </c>
      <c r="H1164" s="1">
        <v>43434</v>
      </c>
      <c r="J1164" t="s">
        <v>2287</v>
      </c>
      <c r="K1164" t="s">
        <v>6050</v>
      </c>
      <c r="L1164" t="s">
        <v>6051</v>
      </c>
      <c r="M1164" t="s">
        <v>6052</v>
      </c>
      <c r="N1164">
        <v>620.5</v>
      </c>
      <c r="O1164" t="s">
        <v>6053</v>
      </c>
      <c r="P1164" t="s">
        <v>18</v>
      </c>
    </row>
    <row r="1165" spans="1:16" x14ac:dyDescent="0.35">
      <c r="A1165">
        <v>5602408</v>
      </c>
      <c r="B1165" t="s">
        <v>6054</v>
      </c>
      <c r="C1165" t="str">
        <f>"9780128097861"</f>
        <v>9780128097861</v>
      </c>
      <c r="D1165" t="str">
        <f>"9780128097168"</f>
        <v>9780128097168</v>
      </c>
      <c r="E1165" t="s">
        <v>190</v>
      </c>
      <c r="F1165" t="s">
        <v>191</v>
      </c>
      <c r="G1165" s="1">
        <v>43431</v>
      </c>
      <c r="H1165" s="1">
        <v>43427</v>
      </c>
      <c r="K1165" t="s">
        <v>6055</v>
      </c>
      <c r="L1165" t="s">
        <v>168</v>
      </c>
      <c r="M1165" t="s">
        <v>6056</v>
      </c>
      <c r="N1165">
        <v>631.29999999999995</v>
      </c>
      <c r="P1165" t="s">
        <v>18</v>
      </c>
    </row>
    <row r="1166" spans="1:16" x14ac:dyDescent="0.35">
      <c r="A1166">
        <v>5602077</v>
      </c>
      <c r="B1166" t="s">
        <v>6057</v>
      </c>
      <c r="C1166" t="str">
        <f>"9780128104736"</f>
        <v>9780128104736</v>
      </c>
      <c r="D1166" t="str">
        <f>"9780128104750"</f>
        <v>9780128104750</v>
      </c>
      <c r="E1166" t="s">
        <v>190</v>
      </c>
      <c r="F1166" t="s">
        <v>191</v>
      </c>
      <c r="G1166" s="1">
        <v>43430</v>
      </c>
      <c r="H1166" s="1">
        <v>43426</v>
      </c>
      <c r="K1166" t="s">
        <v>6058</v>
      </c>
      <c r="L1166" t="s">
        <v>153</v>
      </c>
      <c r="M1166" t="s">
        <v>6059</v>
      </c>
      <c r="N1166">
        <v>333.91709172399999</v>
      </c>
      <c r="P1166" t="s">
        <v>18</v>
      </c>
    </row>
    <row r="1167" spans="1:16" x14ac:dyDescent="0.35">
      <c r="A1167">
        <v>5602434</v>
      </c>
      <c r="B1167" t="s">
        <v>6060</v>
      </c>
      <c r="C1167" t="str">
        <f>"9780081024805"</f>
        <v>9780081024805</v>
      </c>
      <c r="D1167" t="str">
        <f>"9780081024812"</f>
        <v>9780081024812</v>
      </c>
      <c r="E1167" t="s">
        <v>190</v>
      </c>
      <c r="F1167" t="s">
        <v>280</v>
      </c>
      <c r="G1167" s="1">
        <v>43430</v>
      </c>
      <c r="H1167" s="1">
        <v>43427</v>
      </c>
      <c r="J1167" t="s">
        <v>487</v>
      </c>
      <c r="K1167" t="s">
        <v>6061</v>
      </c>
      <c r="L1167" t="s">
        <v>129</v>
      </c>
      <c r="M1167" t="s">
        <v>6062</v>
      </c>
      <c r="N1167">
        <v>624.18340000000001</v>
      </c>
      <c r="P1167" t="s">
        <v>18</v>
      </c>
    </row>
    <row r="1168" spans="1:16" x14ac:dyDescent="0.35">
      <c r="A1168">
        <v>5561272</v>
      </c>
      <c r="B1168" t="s">
        <v>6063</v>
      </c>
      <c r="C1168" t="str">
        <f>"9781442271135"</f>
        <v>9781442271135</v>
      </c>
      <c r="D1168" t="str">
        <f>"9781442271159"</f>
        <v>9781442271159</v>
      </c>
      <c r="E1168" t="s">
        <v>443</v>
      </c>
      <c r="F1168" t="s">
        <v>443</v>
      </c>
      <c r="G1168" s="1">
        <v>43427</v>
      </c>
      <c r="H1168" s="1">
        <v>43397</v>
      </c>
      <c r="K1168" t="s">
        <v>6064</v>
      </c>
      <c r="L1168" t="s">
        <v>38</v>
      </c>
      <c r="M1168" t="s">
        <v>6065</v>
      </c>
      <c r="N1168">
        <v>307.76</v>
      </c>
      <c r="O1168" t="s">
        <v>6066</v>
      </c>
      <c r="P1168" t="s">
        <v>18</v>
      </c>
    </row>
    <row r="1169" spans="1:16" x14ac:dyDescent="0.35">
      <c r="A1169">
        <v>5602403</v>
      </c>
      <c r="B1169" t="s">
        <v>6067</v>
      </c>
      <c r="C1169" t="str">
        <f>"9780128114605"</f>
        <v>9780128114605</v>
      </c>
      <c r="D1169" t="str">
        <f>"9780128116449"</f>
        <v>9780128116449</v>
      </c>
      <c r="E1169" t="s">
        <v>190</v>
      </c>
      <c r="F1169" t="s">
        <v>191</v>
      </c>
      <c r="G1169" s="1">
        <v>43427</v>
      </c>
      <c r="H1169" s="1">
        <v>43427</v>
      </c>
      <c r="K1169" t="s">
        <v>6068</v>
      </c>
      <c r="L1169" t="s">
        <v>41</v>
      </c>
      <c r="M1169" t="s">
        <v>6069</v>
      </c>
      <c r="N1169">
        <v>338.92700000000002</v>
      </c>
      <c r="P1169" t="s">
        <v>18</v>
      </c>
    </row>
    <row r="1170" spans="1:16" x14ac:dyDescent="0.35">
      <c r="A1170">
        <v>5611825</v>
      </c>
      <c r="B1170" t="s">
        <v>6070</v>
      </c>
      <c r="C1170" t="str">
        <f>"9781536144680"</f>
        <v>9781536144680</v>
      </c>
      <c r="D1170" t="str">
        <f>"9781536144697"</f>
        <v>9781536144697</v>
      </c>
      <c r="E1170" t="s">
        <v>1689</v>
      </c>
      <c r="F1170" t="s">
        <v>1689</v>
      </c>
      <c r="G1170" s="1">
        <v>43427</v>
      </c>
      <c r="H1170" s="1">
        <v>43443</v>
      </c>
      <c r="I1170">
        <v>1</v>
      </c>
      <c r="J1170" t="s">
        <v>2672</v>
      </c>
      <c r="K1170" t="s">
        <v>2673</v>
      </c>
      <c r="L1170" t="s">
        <v>6071</v>
      </c>
      <c r="M1170" t="s">
        <v>6072</v>
      </c>
      <c r="N1170">
        <v>333.72</v>
      </c>
      <c r="O1170" t="s">
        <v>6073</v>
      </c>
      <c r="P1170" t="s">
        <v>18</v>
      </c>
    </row>
    <row r="1171" spans="1:16" x14ac:dyDescent="0.35">
      <c r="A1171">
        <v>5599538</v>
      </c>
      <c r="B1171" t="s">
        <v>6074</v>
      </c>
      <c r="C1171" t="str">
        <f>"9780128144978"</f>
        <v>9780128144978</v>
      </c>
      <c r="D1171" t="str">
        <f>"9780128144985"</f>
        <v>9780128144985</v>
      </c>
      <c r="E1171" t="s">
        <v>1699</v>
      </c>
      <c r="F1171" t="s">
        <v>1699</v>
      </c>
      <c r="G1171" s="1">
        <v>43425</v>
      </c>
      <c r="H1171" s="1">
        <v>43423</v>
      </c>
      <c r="J1171" t="s">
        <v>2287</v>
      </c>
      <c r="K1171" t="s">
        <v>6075</v>
      </c>
      <c r="L1171" t="s">
        <v>91</v>
      </c>
      <c r="M1171" t="s">
        <v>6076</v>
      </c>
      <c r="N1171">
        <v>620.11500000000001</v>
      </c>
      <c r="O1171" t="s">
        <v>6077</v>
      </c>
      <c r="P1171" t="s">
        <v>18</v>
      </c>
    </row>
    <row r="1172" spans="1:16" x14ac:dyDescent="0.35">
      <c r="A1172">
        <v>5598995</v>
      </c>
      <c r="B1172" t="s">
        <v>6078</v>
      </c>
      <c r="C1172" t="str">
        <f>"9780128148372"</f>
        <v>9780128148372</v>
      </c>
      <c r="D1172" t="str">
        <f>"9780128148389"</f>
        <v>9780128148389</v>
      </c>
      <c r="E1172" t="s">
        <v>1699</v>
      </c>
      <c r="F1172" t="s">
        <v>1699</v>
      </c>
      <c r="G1172" s="1">
        <v>43423</v>
      </c>
      <c r="H1172" s="1">
        <v>43422</v>
      </c>
      <c r="J1172" t="s">
        <v>2287</v>
      </c>
      <c r="K1172" t="s">
        <v>6079</v>
      </c>
      <c r="L1172" t="s">
        <v>6080</v>
      </c>
      <c r="M1172" t="s">
        <v>6081</v>
      </c>
      <c r="N1172">
        <v>628.5</v>
      </c>
      <c r="O1172" t="s">
        <v>6082</v>
      </c>
      <c r="P1172" t="s">
        <v>18</v>
      </c>
    </row>
    <row r="1173" spans="1:16" x14ac:dyDescent="0.35">
      <c r="A1173">
        <v>5507691</v>
      </c>
      <c r="B1173" t="s">
        <v>6083</v>
      </c>
      <c r="C1173" t="str">
        <f>"9780128117132"</f>
        <v>9780128117132</v>
      </c>
      <c r="D1173" t="str">
        <f>"9780128118009"</f>
        <v>9780128118009</v>
      </c>
      <c r="E1173" t="s">
        <v>1699</v>
      </c>
      <c r="F1173" t="s">
        <v>1699</v>
      </c>
      <c r="G1173" s="1">
        <v>43421</v>
      </c>
      <c r="H1173" s="1">
        <v>43349</v>
      </c>
      <c r="K1173" t="s">
        <v>6084</v>
      </c>
      <c r="L1173" t="s">
        <v>144</v>
      </c>
      <c r="M1173" t="s">
        <v>6085</v>
      </c>
      <c r="N1173">
        <v>577.67999999999995</v>
      </c>
      <c r="O1173" t="s">
        <v>6086</v>
      </c>
      <c r="P1173" t="s">
        <v>18</v>
      </c>
    </row>
    <row r="1174" spans="1:16" x14ac:dyDescent="0.35">
      <c r="A1174">
        <v>5508498</v>
      </c>
      <c r="B1174" t="s">
        <v>6087</v>
      </c>
      <c r="C1174" t="str">
        <f>"9780128042236"</f>
        <v>9780128042236</v>
      </c>
      <c r="D1174" t="str">
        <f>"9780128042649"</f>
        <v>9780128042649</v>
      </c>
      <c r="E1174" t="s">
        <v>190</v>
      </c>
      <c r="F1174" t="s">
        <v>191</v>
      </c>
      <c r="G1174" s="1">
        <v>43420</v>
      </c>
      <c r="H1174" s="1">
        <v>43350</v>
      </c>
      <c r="I1174">
        <v>4</v>
      </c>
      <c r="K1174" t="s">
        <v>6088</v>
      </c>
      <c r="L1174" t="s">
        <v>6089</v>
      </c>
      <c r="M1174" t="s">
        <v>6090</v>
      </c>
      <c r="N1174" t="s">
        <v>6091</v>
      </c>
      <c r="O1174" t="s">
        <v>6092</v>
      </c>
      <c r="P1174" t="s">
        <v>18</v>
      </c>
    </row>
    <row r="1175" spans="1:16" x14ac:dyDescent="0.35">
      <c r="A1175">
        <v>5568563</v>
      </c>
      <c r="B1175" t="s">
        <v>6093</v>
      </c>
      <c r="C1175" t="str">
        <f>"9781522576198"</f>
        <v>9781522576198</v>
      </c>
      <c r="D1175" t="str">
        <f>"9781522576204"</f>
        <v>9781522576204</v>
      </c>
      <c r="E1175" t="s">
        <v>138</v>
      </c>
      <c r="F1175" t="s">
        <v>1769</v>
      </c>
      <c r="G1175" s="1">
        <v>43420</v>
      </c>
      <c r="H1175" s="1">
        <v>43401</v>
      </c>
      <c r="K1175" t="s">
        <v>6094</v>
      </c>
      <c r="L1175" t="s">
        <v>28</v>
      </c>
      <c r="M1175" t="s">
        <v>6095</v>
      </c>
      <c r="N1175" t="s">
        <v>54</v>
      </c>
      <c r="O1175" t="s">
        <v>6096</v>
      </c>
      <c r="P1175" t="s">
        <v>18</v>
      </c>
    </row>
    <row r="1176" spans="1:16" x14ac:dyDescent="0.35">
      <c r="A1176">
        <v>5568681</v>
      </c>
      <c r="B1176" t="s">
        <v>6097</v>
      </c>
      <c r="C1176" t="str">
        <f>"9781522554455"</f>
        <v>9781522554455</v>
      </c>
      <c r="D1176" t="str">
        <f>"9781522554479"</f>
        <v>9781522554479</v>
      </c>
      <c r="E1176" t="s">
        <v>138</v>
      </c>
      <c r="F1176" t="s">
        <v>1764</v>
      </c>
      <c r="G1176" s="1">
        <v>43420</v>
      </c>
      <c r="H1176" s="1">
        <v>43484</v>
      </c>
      <c r="K1176" t="s">
        <v>6098</v>
      </c>
      <c r="L1176" t="s">
        <v>6099</v>
      </c>
      <c r="M1176" t="s">
        <v>6100</v>
      </c>
      <c r="N1176">
        <v>628</v>
      </c>
      <c r="O1176" t="s">
        <v>6101</v>
      </c>
      <c r="P1176" t="s">
        <v>18</v>
      </c>
    </row>
    <row r="1177" spans="1:16" x14ac:dyDescent="0.35">
      <c r="A1177">
        <v>5568685</v>
      </c>
      <c r="B1177" t="s">
        <v>6102</v>
      </c>
      <c r="C1177" t="str">
        <f>"9781522571582"</f>
        <v>9781522571582</v>
      </c>
      <c r="D1177" t="str">
        <f>"9781522571605"</f>
        <v>9781522571605</v>
      </c>
      <c r="E1177" t="s">
        <v>138</v>
      </c>
      <c r="F1177" t="s">
        <v>1789</v>
      </c>
      <c r="G1177" s="1">
        <v>43420</v>
      </c>
      <c r="H1177" s="1">
        <v>43425</v>
      </c>
      <c r="K1177" t="s">
        <v>6103</v>
      </c>
      <c r="L1177" t="s">
        <v>38</v>
      </c>
      <c r="M1177" t="s">
        <v>6104</v>
      </c>
      <c r="P1177" t="s">
        <v>18</v>
      </c>
    </row>
    <row r="1178" spans="1:16" x14ac:dyDescent="0.35">
      <c r="A1178">
        <v>5596902</v>
      </c>
      <c r="B1178" t="s">
        <v>2345</v>
      </c>
      <c r="C1178" t="str">
        <f>"9780128151976"</f>
        <v>9780128151976</v>
      </c>
      <c r="D1178" t="str">
        <f>"9780128151983"</f>
        <v>9780128151983</v>
      </c>
      <c r="E1178" t="s">
        <v>190</v>
      </c>
      <c r="F1178" t="s">
        <v>191</v>
      </c>
      <c r="G1178" s="1">
        <v>43420</v>
      </c>
      <c r="H1178" s="1">
        <v>43419</v>
      </c>
      <c r="J1178" t="s">
        <v>291</v>
      </c>
      <c r="K1178" t="s">
        <v>5345</v>
      </c>
      <c r="L1178" t="s">
        <v>6105</v>
      </c>
      <c r="M1178" t="s">
        <v>6106</v>
      </c>
      <c r="N1178">
        <v>338.19</v>
      </c>
      <c r="O1178" t="s">
        <v>6107</v>
      </c>
      <c r="P1178" t="s">
        <v>18</v>
      </c>
    </row>
    <row r="1179" spans="1:16" x14ac:dyDescent="0.35">
      <c r="A1179">
        <v>5597949</v>
      </c>
      <c r="B1179" t="s">
        <v>6108</v>
      </c>
      <c r="C1179" t="str">
        <f>"9780128152089"</f>
        <v>9780128152089</v>
      </c>
      <c r="D1179" t="str">
        <f>"9780128155370"</f>
        <v>9780128155370</v>
      </c>
      <c r="E1179" t="s">
        <v>190</v>
      </c>
      <c r="F1179" t="s">
        <v>191</v>
      </c>
      <c r="G1179" s="1">
        <v>43420</v>
      </c>
      <c r="H1179" s="1">
        <v>43420</v>
      </c>
      <c r="J1179" t="s">
        <v>291</v>
      </c>
      <c r="K1179" t="s">
        <v>6109</v>
      </c>
      <c r="L1179" t="s">
        <v>328</v>
      </c>
      <c r="M1179" t="s">
        <v>6110</v>
      </c>
      <c r="N1179">
        <v>550.15195500000004</v>
      </c>
      <c r="O1179" t="s">
        <v>6111</v>
      </c>
      <c r="P1179" t="s">
        <v>18</v>
      </c>
    </row>
    <row r="1180" spans="1:16" x14ac:dyDescent="0.35">
      <c r="A1180">
        <v>5598692</v>
      </c>
      <c r="B1180" t="s">
        <v>6112</v>
      </c>
      <c r="C1180" t="str">
        <f>"9780128159200"</f>
        <v>9780128159200</v>
      </c>
      <c r="D1180" t="str">
        <f>"9780128154366"</f>
        <v>9780128154366</v>
      </c>
      <c r="E1180" t="s">
        <v>190</v>
      </c>
      <c r="F1180" t="s">
        <v>282</v>
      </c>
      <c r="G1180" s="1">
        <v>43420</v>
      </c>
      <c r="H1180" s="1">
        <v>43421</v>
      </c>
      <c r="K1180" t="s">
        <v>6113</v>
      </c>
      <c r="L1180" t="s">
        <v>483</v>
      </c>
      <c r="M1180" t="s">
        <v>6114</v>
      </c>
      <c r="N1180">
        <v>363.73874091732</v>
      </c>
      <c r="O1180" t="s">
        <v>6115</v>
      </c>
      <c r="P1180" t="s">
        <v>18</v>
      </c>
    </row>
    <row r="1181" spans="1:16" x14ac:dyDescent="0.35">
      <c r="A1181">
        <v>5606449</v>
      </c>
      <c r="B1181" t="s">
        <v>6116</v>
      </c>
      <c r="C1181" t="str">
        <f>"9781498573269"</f>
        <v>9781498573269</v>
      </c>
      <c r="D1181" t="str">
        <f>"9781498573276"</f>
        <v>9781498573276</v>
      </c>
      <c r="E1181" t="s">
        <v>446</v>
      </c>
      <c r="F1181" t="s">
        <v>446</v>
      </c>
      <c r="G1181" s="1">
        <v>43420</v>
      </c>
      <c r="H1181" s="1">
        <v>43434</v>
      </c>
      <c r="K1181" t="s">
        <v>6117</v>
      </c>
      <c r="L1181" t="s">
        <v>25</v>
      </c>
      <c r="M1181" t="s">
        <v>6118</v>
      </c>
      <c r="N1181">
        <v>153.68</v>
      </c>
      <c r="O1181" t="s">
        <v>6119</v>
      </c>
      <c r="P1181" t="s">
        <v>18</v>
      </c>
    </row>
    <row r="1182" spans="1:16" x14ac:dyDescent="0.35">
      <c r="A1182">
        <v>5620928</v>
      </c>
      <c r="B1182" t="s">
        <v>6120</v>
      </c>
      <c r="C1182" t="str">
        <f>"9783631768525"</f>
        <v>9783631768525</v>
      </c>
      <c r="D1182" t="str">
        <f>"9783631768600"</f>
        <v>9783631768600</v>
      </c>
      <c r="E1182" t="s">
        <v>2432</v>
      </c>
      <c r="F1182" t="s">
        <v>2432</v>
      </c>
      <c r="G1182" s="1">
        <v>43420</v>
      </c>
      <c r="H1182" s="1">
        <v>43453</v>
      </c>
      <c r="I1182">
        <v>1</v>
      </c>
      <c r="K1182" t="s">
        <v>6121</v>
      </c>
      <c r="L1182" t="s">
        <v>41</v>
      </c>
      <c r="M1182" t="s">
        <v>6122</v>
      </c>
      <c r="N1182">
        <v>337</v>
      </c>
      <c r="O1182" t="s">
        <v>6123</v>
      </c>
      <c r="P1182" t="s">
        <v>18</v>
      </c>
    </row>
    <row r="1183" spans="1:16" x14ac:dyDescent="0.35">
      <c r="A1183">
        <v>5597120</v>
      </c>
      <c r="B1183" t="s">
        <v>6124</v>
      </c>
      <c r="C1183" t="str">
        <f>"9780128115107"</f>
        <v>9780128115107</v>
      </c>
      <c r="D1183" t="str">
        <f>"9780128115114"</f>
        <v>9780128115114</v>
      </c>
      <c r="E1183" t="s">
        <v>190</v>
      </c>
      <c r="F1183" t="s">
        <v>282</v>
      </c>
      <c r="G1183" s="1">
        <v>43416</v>
      </c>
      <c r="H1183" s="1">
        <v>43419</v>
      </c>
      <c r="K1183" t="s">
        <v>6125</v>
      </c>
      <c r="L1183" t="s">
        <v>129</v>
      </c>
      <c r="M1183" t="s">
        <v>6126</v>
      </c>
      <c r="N1183">
        <v>624.18340000000001</v>
      </c>
      <c r="O1183" t="s">
        <v>6127</v>
      </c>
      <c r="P1183" t="s">
        <v>18</v>
      </c>
    </row>
    <row r="1184" spans="1:16" x14ac:dyDescent="0.35">
      <c r="A1184">
        <v>5589428</v>
      </c>
      <c r="B1184" t="s">
        <v>6128</v>
      </c>
      <c r="C1184" t="str">
        <f>"9780128142424"</f>
        <v>9780128142424</v>
      </c>
      <c r="D1184" t="str">
        <f>"9780128142431"</f>
        <v>9780128142431</v>
      </c>
      <c r="E1184" t="s">
        <v>1699</v>
      </c>
      <c r="F1184" t="s">
        <v>1699</v>
      </c>
      <c r="G1184" s="1">
        <v>43414</v>
      </c>
      <c r="H1184" s="1">
        <v>43418</v>
      </c>
      <c r="K1184" t="s">
        <v>6129</v>
      </c>
      <c r="L1184" t="s">
        <v>28</v>
      </c>
      <c r="M1184" t="s">
        <v>6130</v>
      </c>
      <c r="N1184">
        <v>658.7</v>
      </c>
      <c r="O1184" t="s">
        <v>6131</v>
      </c>
      <c r="P1184" t="s">
        <v>18</v>
      </c>
    </row>
    <row r="1185" spans="1:16" x14ac:dyDescent="0.35">
      <c r="A1185">
        <v>5580497</v>
      </c>
      <c r="B1185" t="s">
        <v>6132</v>
      </c>
      <c r="C1185" t="str">
        <f>"9780128131404"</f>
        <v>9780128131404</v>
      </c>
      <c r="D1185" t="str">
        <f>"9780128131411"</f>
        <v>9780128131411</v>
      </c>
      <c r="E1185" t="s">
        <v>309</v>
      </c>
      <c r="F1185" t="s">
        <v>4774</v>
      </c>
      <c r="G1185" s="1">
        <v>43413</v>
      </c>
      <c r="H1185" s="1">
        <v>43413</v>
      </c>
      <c r="J1185" t="s">
        <v>4775</v>
      </c>
      <c r="K1185" t="s">
        <v>6133</v>
      </c>
      <c r="L1185" t="s">
        <v>367</v>
      </c>
      <c r="M1185" t="s">
        <v>6134</v>
      </c>
      <c r="N1185">
        <v>620.19230000000005</v>
      </c>
      <c r="O1185" t="s">
        <v>6135</v>
      </c>
      <c r="P1185" t="s">
        <v>18</v>
      </c>
    </row>
    <row r="1186" spans="1:16" x14ac:dyDescent="0.35">
      <c r="A1186">
        <v>5611839</v>
      </c>
      <c r="B1186" t="s">
        <v>6136</v>
      </c>
      <c r="C1186" t="str">
        <f>"9781536140224"</f>
        <v>9781536140224</v>
      </c>
      <c r="D1186" t="str">
        <f>"9781536140231"</f>
        <v>9781536140231</v>
      </c>
      <c r="E1186" t="s">
        <v>1689</v>
      </c>
      <c r="F1186" t="s">
        <v>1689</v>
      </c>
      <c r="G1186" s="1">
        <v>43413</v>
      </c>
      <c r="H1186" s="1">
        <v>43443</v>
      </c>
      <c r="I1186">
        <v>1</v>
      </c>
      <c r="J1186" t="s">
        <v>4434</v>
      </c>
      <c r="K1186" t="s">
        <v>6137</v>
      </c>
      <c r="L1186" t="s">
        <v>427</v>
      </c>
      <c r="M1186" t="s">
        <v>6138</v>
      </c>
      <c r="N1186">
        <v>333.79399999999998</v>
      </c>
      <c r="O1186" t="s">
        <v>481</v>
      </c>
      <c r="P1186" t="s">
        <v>18</v>
      </c>
    </row>
    <row r="1187" spans="1:16" x14ac:dyDescent="0.35">
      <c r="A1187">
        <v>5582328</v>
      </c>
      <c r="B1187" t="s">
        <v>6139</v>
      </c>
      <c r="C1187" t="str">
        <f>"9780128117293"</f>
        <v>9780128117293</v>
      </c>
      <c r="D1187" t="str">
        <f>"9780128117309"</f>
        <v>9780128117309</v>
      </c>
      <c r="E1187" t="s">
        <v>1699</v>
      </c>
      <c r="F1187" t="s">
        <v>1699</v>
      </c>
      <c r="G1187" s="1">
        <v>43412</v>
      </c>
      <c r="H1187" s="1">
        <v>43414</v>
      </c>
      <c r="K1187" t="s">
        <v>6140</v>
      </c>
      <c r="L1187" t="s">
        <v>76</v>
      </c>
      <c r="M1187" t="s">
        <v>6141</v>
      </c>
      <c r="N1187" t="s">
        <v>434</v>
      </c>
      <c r="O1187" t="s">
        <v>6142</v>
      </c>
      <c r="P1187" t="s">
        <v>18</v>
      </c>
    </row>
    <row r="1188" spans="1:16" x14ac:dyDescent="0.35">
      <c r="A1188">
        <v>5589262</v>
      </c>
      <c r="B1188" t="s">
        <v>6143</v>
      </c>
      <c r="C1188" t="str">
        <f>"9780128141045"</f>
        <v>9780128141045</v>
      </c>
      <c r="D1188" t="str">
        <f>"9780128141052"</f>
        <v>9780128141052</v>
      </c>
      <c r="E1188" t="s">
        <v>190</v>
      </c>
      <c r="F1188" t="s">
        <v>191</v>
      </c>
      <c r="G1188" s="1">
        <v>43412</v>
      </c>
      <c r="H1188" s="1">
        <v>43417</v>
      </c>
      <c r="K1188" t="s">
        <v>1729</v>
      </c>
      <c r="L1188" t="s">
        <v>3625</v>
      </c>
      <c r="M1188" t="s">
        <v>6144</v>
      </c>
      <c r="N1188">
        <v>363.73874000000001</v>
      </c>
      <c r="O1188" t="s">
        <v>6145</v>
      </c>
      <c r="P1188" t="s">
        <v>18</v>
      </c>
    </row>
    <row r="1189" spans="1:16" x14ac:dyDescent="0.35">
      <c r="A1189">
        <v>5573494</v>
      </c>
      <c r="B1189" t="s">
        <v>6146</v>
      </c>
      <c r="C1189" t="str">
        <f>"9780128154854"</f>
        <v>9780128154854</v>
      </c>
      <c r="D1189" t="str">
        <f>"9780128154861"</f>
        <v>9780128154861</v>
      </c>
      <c r="E1189" t="s">
        <v>190</v>
      </c>
      <c r="F1189" t="s">
        <v>282</v>
      </c>
      <c r="G1189" s="1">
        <v>43411</v>
      </c>
      <c r="H1189" s="1">
        <v>43408</v>
      </c>
      <c r="K1189" t="s">
        <v>6147</v>
      </c>
      <c r="L1189" t="s">
        <v>6148</v>
      </c>
      <c r="M1189" t="s">
        <v>6149</v>
      </c>
      <c r="N1189">
        <v>532.05101130000003</v>
      </c>
      <c r="O1189" t="s">
        <v>6150</v>
      </c>
      <c r="P1189" t="s">
        <v>18</v>
      </c>
    </row>
    <row r="1190" spans="1:16" x14ac:dyDescent="0.35">
      <c r="A1190">
        <v>5589266</v>
      </c>
      <c r="B1190" t="s">
        <v>6151</v>
      </c>
      <c r="C1190" t="str">
        <f>"9780081025284"</f>
        <v>9780081025284</v>
      </c>
      <c r="D1190" t="str">
        <f>"9780081025291"</f>
        <v>9780081025291</v>
      </c>
      <c r="E1190" t="s">
        <v>190</v>
      </c>
      <c r="F1190" t="s">
        <v>280</v>
      </c>
      <c r="G1190" s="1">
        <v>43411</v>
      </c>
      <c r="H1190" s="1">
        <v>43417</v>
      </c>
      <c r="J1190" t="s">
        <v>3018</v>
      </c>
      <c r="K1190" t="s">
        <v>6152</v>
      </c>
      <c r="L1190" t="s">
        <v>6051</v>
      </c>
      <c r="M1190" t="s">
        <v>6153</v>
      </c>
      <c r="N1190">
        <v>621.19899999999996</v>
      </c>
      <c r="O1190" t="s">
        <v>6154</v>
      </c>
      <c r="P1190" t="s">
        <v>18</v>
      </c>
    </row>
    <row r="1191" spans="1:16" x14ac:dyDescent="0.35">
      <c r="A1191">
        <v>5574738</v>
      </c>
      <c r="B1191" t="s">
        <v>6155</v>
      </c>
      <c r="C1191" t="str">
        <f>"9781547416608"</f>
        <v>9781547416608</v>
      </c>
      <c r="D1191" t="str">
        <f>"9781547400423"</f>
        <v>9781547400423</v>
      </c>
      <c r="E1191" t="s">
        <v>404</v>
      </c>
      <c r="F1191" t="s">
        <v>404</v>
      </c>
      <c r="G1191" s="1">
        <v>43409</v>
      </c>
      <c r="H1191" s="1">
        <v>43412</v>
      </c>
      <c r="J1191" t="s">
        <v>2264</v>
      </c>
      <c r="K1191" t="s">
        <v>6156</v>
      </c>
      <c r="L1191" t="s">
        <v>28</v>
      </c>
      <c r="M1191" t="s">
        <v>6157</v>
      </c>
      <c r="N1191" t="s">
        <v>5141</v>
      </c>
      <c r="O1191" t="s">
        <v>6158</v>
      </c>
      <c r="P1191" t="s">
        <v>18</v>
      </c>
    </row>
    <row r="1192" spans="1:16" x14ac:dyDescent="0.35">
      <c r="A1192">
        <v>5552134</v>
      </c>
      <c r="B1192" t="s">
        <v>6159</v>
      </c>
      <c r="C1192" t="str">
        <f>"9781440864162"</f>
        <v>9781440864162</v>
      </c>
      <c r="D1192" t="str">
        <f>"9781440864179"</f>
        <v>9781440864179</v>
      </c>
      <c r="E1192" t="s">
        <v>440</v>
      </c>
      <c r="F1192" t="s">
        <v>441</v>
      </c>
      <c r="G1192" s="1">
        <v>43406</v>
      </c>
      <c r="H1192" s="1">
        <v>43386</v>
      </c>
      <c r="K1192" t="s">
        <v>6160</v>
      </c>
      <c r="L1192" t="s">
        <v>163</v>
      </c>
      <c r="M1192" t="s">
        <v>6161</v>
      </c>
      <c r="N1192">
        <v>363.738</v>
      </c>
      <c r="O1192" t="s">
        <v>6162</v>
      </c>
      <c r="P1192" t="s">
        <v>18</v>
      </c>
    </row>
    <row r="1193" spans="1:16" x14ac:dyDescent="0.35">
      <c r="A1193">
        <v>5552139</v>
      </c>
      <c r="B1193" t="s">
        <v>6163</v>
      </c>
      <c r="C1193" t="str">
        <f>"9781522569954"</f>
        <v>9781522569954</v>
      </c>
      <c r="D1193" t="str">
        <f>"9781522569961"</f>
        <v>9781522569961</v>
      </c>
      <c r="E1193" t="s">
        <v>138</v>
      </c>
      <c r="F1193" t="s">
        <v>1764</v>
      </c>
      <c r="G1193" s="1">
        <v>43406</v>
      </c>
      <c r="H1193" s="1">
        <v>43386</v>
      </c>
      <c r="K1193" t="s">
        <v>6164</v>
      </c>
      <c r="L1193" t="s">
        <v>6165</v>
      </c>
      <c r="M1193" t="s">
        <v>6166</v>
      </c>
      <c r="N1193" t="s">
        <v>6167</v>
      </c>
      <c r="O1193" t="s">
        <v>6168</v>
      </c>
      <c r="P1193" t="s">
        <v>18</v>
      </c>
    </row>
    <row r="1194" spans="1:16" x14ac:dyDescent="0.35">
      <c r="A1194">
        <v>5571197</v>
      </c>
      <c r="B1194" t="s">
        <v>6169</v>
      </c>
      <c r="C1194" t="str">
        <f>"9780128148747"</f>
        <v>9780128148747</v>
      </c>
      <c r="D1194" t="str">
        <f>"9780128156889"</f>
        <v>9780128156889</v>
      </c>
      <c r="E1194" t="s">
        <v>190</v>
      </c>
      <c r="F1194" t="s">
        <v>191</v>
      </c>
      <c r="G1194" s="1">
        <v>43405</v>
      </c>
      <c r="H1194" s="1">
        <v>43406</v>
      </c>
      <c r="K1194" t="s">
        <v>2452</v>
      </c>
      <c r="L1194" t="s">
        <v>66</v>
      </c>
      <c r="M1194" t="s">
        <v>6170</v>
      </c>
      <c r="N1194">
        <v>333.95414</v>
      </c>
      <c r="O1194" t="s">
        <v>6171</v>
      </c>
      <c r="P1194" t="s">
        <v>18</v>
      </c>
    </row>
    <row r="1195" spans="1:16" x14ac:dyDescent="0.35">
      <c r="A1195">
        <v>5566748</v>
      </c>
      <c r="B1195" t="s">
        <v>6172</v>
      </c>
      <c r="C1195" t="str">
        <f>"9780128153390"</f>
        <v>9780128153390</v>
      </c>
      <c r="D1195" t="str">
        <f>"9780128153406"</f>
        <v>9780128153406</v>
      </c>
      <c r="E1195" t="s">
        <v>190</v>
      </c>
      <c r="F1195" t="s">
        <v>191</v>
      </c>
      <c r="G1195" s="1">
        <v>43403</v>
      </c>
      <c r="H1195" s="1">
        <v>43708</v>
      </c>
      <c r="I1195">
        <v>2</v>
      </c>
      <c r="J1195" t="s">
        <v>6173</v>
      </c>
      <c r="K1195" t="s">
        <v>6174</v>
      </c>
      <c r="L1195" t="s">
        <v>6175</v>
      </c>
      <c r="M1195" t="s">
        <v>6176</v>
      </c>
      <c r="N1195">
        <v>571.95090000000005</v>
      </c>
      <c r="O1195" t="s">
        <v>6177</v>
      </c>
      <c r="P1195" t="s">
        <v>18</v>
      </c>
    </row>
    <row r="1196" spans="1:16" x14ac:dyDescent="0.35">
      <c r="A1196">
        <v>5560014</v>
      </c>
      <c r="B1196" t="s">
        <v>6178</v>
      </c>
      <c r="C1196" t="str">
        <f>"9780128114179"</f>
        <v>9780128114179</v>
      </c>
      <c r="D1196" t="str">
        <f>"9780128114186"</f>
        <v>9780128114186</v>
      </c>
      <c r="E1196" t="s">
        <v>1699</v>
      </c>
      <c r="F1196" t="s">
        <v>1699</v>
      </c>
      <c r="G1196" s="1">
        <v>43402</v>
      </c>
      <c r="H1196" s="1">
        <v>43394</v>
      </c>
      <c r="K1196" t="s">
        <v>6179</v>
      </c>
      <c r="L1196" t="s">
        <v>180</v>
      </c>
      <c r="M1196" t="s">
        <v>6180</v>
      </c>
      <c r="N1196">
        <v>333.79073</v>
      </c>
      <c r="O1196" t="s">
        <v>6181</v>
      </c>
      <c r="P1196" t="s">
        <v>18</v>
      </c>
    </row>
    <row r="1197" spans="1:16" x14ac:dyDescent="0.35">
      <c r="A1197">
        <v>5568456</v>
      </c>
      <c r="B1197" t="s">
        <v>6182</v>
      </c>
      <c r="C1197" t="str">
        <f>"9780128119778"</f>
        <v>9780128119778</v>
      </c>
      <c r="D1197" t="str">
        <f>"9780128119655"</f>
        <v>9780128119655</v>
      </c>
      <c r="E1197" t="s">
        <v>190</v>
      </c>
      <c r="F1197" t="s">
        <v>191</v>
      </c>
      <c r="G1197" s="1">
        <v>43402</v>
      </c>
      <c r="H1197" s="1">
        <v>43400</v>
      </c>
      <c r="K1197" t="s">
        <v>6183</v>
      </c>
      <c r="L1197" t="s">
        <v>328</v>
      </c>
      <c r="M1197" t="s">
        <v>6184</v>
      </c>
      <c r="N1197">
        <v>551.45709509999995</v>
      </c>
      <c r="O1197" t="s">
        <v>6185</v>
      </c>
      <c r="P1197" t="s">
        <v>18</v>
      </c>
    </row>
    <row r="1198" spans="1:16" x14ac:dyDescent="0.35">
      <c r="A1198">
        <v>5568458</v>
      </c>
      <c r="B1198" t="s">
        <v>6186</v>
      </c>
      <c r="C1198" t="str">
        <f>"9780128151037"</f>
        <v>9780128151037</v>
      </c>
      <c r="D1198" t="str">
        <f>"9780128151044"</f>
        <v>9780128151044</v>
      </c>
      <c r="E1198" t="s">
        <v>190</v>
      </c>
      <c r="F1198" t="s">
        <v>191</v>
      </c>
      <c r="G1198" s="1">
        <v>43402</v>
      </c>
      <c r="H1198" s="1">
        <v>43400</v>
      </c>
      <c r="J1198" t="s">
        <v>291</v>
      </c>
      <c r="K1198" t="s">
        <v>6187</v>
      </c>
      <c r="L1198" t="s">
        <v>172</v>
      </c>
      <c r="M1198" t="s">
        <v>6188</v>
      </c>
      <c r="N1198">
        <v>578.77</v>
      </c>
      <c r="O1198" t="s">
        <v>2078</v>
      </c>
      <c r="P1198" t="s">
        <v>18</v>
      </c>
    </row>
    <row r="1199" spans="1:16" x14ac:dyDescent="0.35">
      <c r="A1199">
        <v>5541155</v>
      </c>
      <c r="B1199" t="s">
        <v>6189</v>
      </c>
      <c r="C1199" t="str">
        <f>"9781522570950"</f>
        <v>9781522570950</v>
      </c>
      <c r="D1199" t="str">
        <f>"9781522570967"</f>
        <v>9781522570967</v>
      </c>
      <c r="E1199" t="s">
        <v>138</v>
      </c>
      <c r="F1199" t="s">
        <v>1769</v>
      </c>
      <c r="G1199" s="1">
        <v>43399</v>
      </c>
      <c r="H1199" s="1">
        <v>43380</v>
      </c>
      <c r="K1199" t="s">
        <v>6190</v>
      </c>
      <c r="L1199" t="s">
        <v>26</v>
      </c>
      <c r="M1199" t="s">
        <v>6191</v>
      </c>
      <c r="N1199" t="s">
        <v>6192</v>
      </c>
      <c r="O1199" t="s">
        <v>6193</v>
      </c>
      <c r="P1199" t="s">
        <v>18</v>
      </c>
    </row>
    <row r="1200" spans="1:16" x14ac:dyDescent="0.35">
      <c r="A1200">
        <v>5561510</v>
      </c>
      <c r="B1200" t="s">
        <v>6194</v>
      </c>
      <c r="C1200" t="str">
        <f>"9780128130568"</f>
        <v>9780128130568</v>
      </c>
      <c r="D1200" t="str">
        <f>"9780128130575"</f>
        <v>9780128130575</v>
      </c>
      <c r="E1200" t="s">
        <v>190</v>
      </c>
      <c r="F1200" t="s">
        <v>191</v>
      </c>
      <c r="G1200" s="1">
        <v>43399</v>
      </c>
      <c r="H1200" s="1">
        <v>43922</v>
      </c>
      <c r="K1200" t="s">
        <v>6195</v>
      </c>
      <c r="L1200" t="s">
        <v>118</v>
      </c>
      <c r="M1200" t="s">
        <v>6196</v>
      </c>
      <c r="N1200">
        <v>662.88</v>
      </c>
      <c r="O1200" t="s">
        <v>421</v>
      </c>
      <c r="P1200" t="s">
        <v>18</v>
      </c>
    </row>
    <row r="1201" spans="1:16" x14ac:dyDescent="0.35">
      <c r="A1201">
        <v>5567656</v>
      </c>
      <c r="B1201" t="s">
        <v>6197</v>
      </c>
      <c r="C1201" t="str">
        <f>"9780128143179"</f>
        <v>9780128143179</v>
      </c>
      <c r="D1201" t="str">
        <f>"9780128143186"</f>
        <v>9780128143186</v>
      </c>
      <c r="E1201" t="s">
        <v>190</v>
      </c>
      <c r="F1201" t="s">
        <v>191</v>
      </c>
      <c r="G1201" s="1">
        <v>43399</v>
      </c>
      <c r="H1201" s="1">
        <v>43399</v>
      </c>
      <c r="J1201" t="s">
        <v>291</v>
      </c>
      <c r="K1201" t="s">
        <v>6198</v>
      </c>
      <c r="L1201" t="s">
        <v>172</v>
      </c>
      <c r="M1201" t="s">
        <v>6199</v>
      </c>
      <c r="N1201">
        <v>577.60287000000005</v>
      </c>
      <c r="O1201" t="s">
        <v>6200</v>
      </c>
      <c r="P1201" t="s">
        <v>18</v>
      </c>
    </row>
    <row r="1202" spans="1:16" x14ac:dyDescent="0.35">
      <c r="A1202">
        <v>5568454</v>
      </c>
      <c r="B1202" t="s">
        <v>6201</v>
      </c>
      <c r="C1202" t="str">
        <f>"9780128146040"</f>
        <v>9780128146040</v>
      </c>
      <c r="D1202" t="str">
        <f>"9780128146057"</f>
        <v>9780128146057</v>
      </c>
      <c r="E1202" t="s">
        <v>190</v>
      </c>
      <c r="F1202" t="s">
        <v>191</v>
      </c>
      <c r="G1202" s="1">
        <v>43399</v>
      </c>
      <c r="H1202" s="1">
        <v>43400</v>
      </c>
      <c r="J1202" t="s">
        <v>291</v>
      </c>
      <c r="K1202" t="s">
        <v>6202</v>
      </c>
      <c r="L1202" t="s">
        <v>172</v>
      </c>
      <c r="M1202" t="s">
        <v>6203</v>
      </c>
      <c r="N1202">
        <v>579</v>
      </c>
      <c r="O1202" t="s">
        <v>4972</v>
      </c>
      <c r="P1202" t="s">
        <v>18</v>
      </c>
    </row>
    <row r="1203" spans="1:16" x14ac:dyDescent="0.35">
      <c r="A1203">
        <v>5553858</v>
      </c>
      <c r="B1203" t="s">
        <v>6204</v>
      </c>
      <c r="C1203" t="str">
        <f>"9781787145542"</f>
        <v>9781787145542</v>
      </c>
      <c r="D1203" t="str">
        <f>"9781787145535"</f>
        <v>9781787145535</v>
      </c>
      <c r="E1203" t="s">
        <v>187</v>
      </c>
      <c r="F1203" t="s">
        <v>187</v>
      </c>
      <c r="G1203" s="1">
        <v>43397</v>
      </c>
      <c r="H1203" s="1">
        <v>43389</v>
      </c>
      <c r="K1203" t="s">
        <v>6205</v>
      </c>
      <c r="L1203" t="s">
        <v>159</v>
      </c>
      <c r="M1203" t="s">
        <v>6206</v>
      </c>
      <c r="N1203">
        <v>174</v>
      </c>
      <c r="O1203" t="s">
        <v>6207</v>
      </c>
      <c r="P1203" t="s">
        <v>18</v>
      </c>
    </row>
    <row r="1204" spans="1:16" x14ac:dyDescent="0.35">
      <c r="A1204">
        <v>5559870</v>
      </c>
      <c r="B1204" t="s">
        <v>6208</v>
      </c>
      <c r="C1204" t="str">
        <f>"9780444537720"</f>
        <v>9780444537720</v>
      </c>
      <c r="D1204" t="str">
        <f>"9780444537737"</f>
        <v>9780444537737</v>
      </c>
      <c r="E1204" t="s">
        <v>190</v>
      </c>
      <c r="F1204" t="s">
        <v>290</v>
      </c>
      <c r="G1204" s="1">
        <v>43397</v>
      </c>
      <c r="H1204" s="1">
        <v>43393</v>
      </c>
      <c r="J1204" t="s">
        <v>291</v>
      </c>
      <c r="K1204" t="s">
        <v>6209</v>
      </c>
      <c r="L1204" t="s">
        <v>368</v>
      </c>
      <c r="M1204" t="s">
        <v>6210</v>
      </c>
      <c r="N1204">
        <v>333.7</v>
      </c>
      <c r="O1204" t="s">
        <v>6211</v>
      </c>
      <c r="P1204" t="s">
        <v>18</v>
      </c>
    </row>
    <row r="1205" spans="1:16" x14ac:dyDescent="0.35">
      <c r="A1205">
        <v>5561526</v>
      </c>
      <c r="B1205" t="s">
        <v>6212</v>
      </c>
      <c r="C1205" t="str">
        <f>"9780128117149"</f>
        <v>9780128117149</v>
      </c>
      <c r="D1205" t="str">
        <f>"9780128117156"</f>
        <v>9780128117156</v>
      </c>
      <c r="E1205" t="s">
        <v>1699</v>
      </c>
      <c r="F1205" t="s">
        <v>1699</v>
      </c>
      <c r="G1205" s="1">
        <v>43397</v>
      </c>
      <c r="H1205" s="1">
        <v>43399</v>
      </c>
      <c r="K1205" t="s">
        <v>6213</v>
      </c>
      <c r="L1205" t="s">
        <v>456</v>
      </c>
      <c r="M1205" t="s">
        <v>6214</v>
      </c>
      <c r="N1205">
        <v>551.63</v>
      </c>
      <c r="O1205" t="s">
        <v>6215</v>
      </c>
      <c r="P1205" t="s">
        <v>18</v>
      </c>
    </row>
    <row r="1206" spans="1:16" x14ac:dyDescent="0.35">
      <c r="A1206">
        <v>5520224</v>
      </c>
      <c r="B1206" t="s">
        <v>6216</v>
      </c>
      <c r="C1206" t="str">
        <f>"9781472943200"</f>
        <v>9781472943200</v>
      </c>
      <c r="D1206" t="str">
        <f>"9781472943170"</f>
        <v>9781472943170</v>
      </c>
      <c r="E1206" t="s">
        <v>354</v>
      </c>
      <c r="F1206" t="s">
        <v>354</v>
      </c>
      <c r="G1206" s="1">
        <v>43391</v>
      </c>
      <c r="H1206" s="1">
        <v>43364</v>
      </c>
      <c r="J1206" t="s">
        <v>6217</v>
      </c>
      <c r="K1206" t="s">
        <v>6218</v>
      </c>
      <c r="L1206" t="s">
        <v>403</v>
      </c>
      <c r="M1206" t="s">
        <v>6219</v>
      </c>
      <c r="N1206">
        <v>591.72760000000005</v>
      </c>
      <c r="O1206" t="s">
        <v>6220</v>
      </c>
      <c r="P1206" t="s">
        <v>18</v>
      </c>
    </row>
    <row r="1207" spans="1:16" x14ac:dyDescent="0.35">
      <c r="A1207">
        <v>5543524</v>
      </c>
      <c r="B1207" t="s">
        <v>6221</v>
      </c>
      <c r="C1207" t="str">
        <f>"9780128128435"</f>
        <v>9780128128435</v>
      </c>
      <c r="D1207" t="str">
        <f>"9780128128442"</f>
        <v>9780128128442</v>
      </c>
      <c r="E1207" t="s">
        <v>190</v>
      </c>
      <c r="F1207" t="s">
        <v>280</v>
      </c>
      <c r="G1207" s="1">
        <v>43391</v>
      </c>
      <c r="H1207" s="1">
        <v>43382</v>
      </c>
      <c r="K1207" t="s">
        <v>6222</v>
      </c>
      <c r="L1207" t="s">
        <v>104</v>
      </c>
      <c r="M1207" t="s">
        <v>6223</v>
      </c>
      <c r="N1207">
        <v>628.21</v>
      </c>
      <c r="O1207" t="s">
        <v>6224</v>
      </c>
      <c r="P1207" t="s">
        <v>18</v>
      </c>
    </row>
    <row r="1208" spans="1:16" x14ac:dyDescent="0.35">
      <c r="A1208">
        <v>5500515</v>
      </c>
      <c r="B1208" t="s">
        <v>6225</v>
      </c>
      <c r="C1208" t="str">
        <f>"9780759123939"</f>
        <v>9780759123939</v>
      </c>
      <c r="D1208" t="str">
        <f>"9780759123946"</f>
        <v>9780759123946</v>
      </c>
      <c r="E1208" t="s">
        <v>443</v>
      </c>
      <c r="F1208" t="s">
        <v>443</v>
      </c>
      <c r="G1208" s="1">
        <v>43389</v>
      </c>
      <c r="H1208" s="1">
        <v>43342</v>
      </c>
      <c r="J1208" t="s">
        <v>6226</v>
      </c>
      <c r="K1208" t="s">
        <v>6227</v>
      </c>
      <c r="L1208" t="s">
        <v>112</v>
      </c>
      <c r="M1208" t="s">
        <v>6228</v>
      </c>
      <c r="N1208">
        <v>613.04380000000003</v>
      </c>
      <c r="O1208" t="s">
        <v>6229</v>
      </c>
      <c r="P1208" t="s">
        <v>18</v>
      </c>
    </row>
    <row r="1209" spans="1:16" x14ac:dyDescent="0.35">
      <c r="A1209">
        <v>5554543</v>
      </c>
      <c r="B1209" t="s">
        <v>6230</v>
      </c>
      <c r="C1209" t="str">
        <f>"9780128148815"</f>
        <v>9780128148815</v>
      </c>
      <c r="D1209" t="str">
        <f>"9780128148822"</f>
        <v>9780128148822</v>
      </c>
      <c r="E1209" t="s">
        <v>1699</v>
      </c>
      <c r="F1209" t="s">
        <v>1699</v>
      </c>
      <c r="G1209" s="1">
        <v>43389</v>
      </c>
      <c r="H1209" s="1">
        <v>43389</v>
      </c>
      <c r="K1209" t="s">
        <v>6231</v>
      </c>
      <c r="L1209" t="s">
        <v>254</v>
      </c>
      <c r="M1209" t="s">
        <v>6232</v>
      </c>
      <c r="N1209">
        <v>621.31213400000001</v>
      </c>
      <c r="O1209" t="s">
        <v>6233</v>
      </c>
      <c r="P1209" t="s">
        <v>18</v>
      </c>
    </row>
    <row r="1210" spans="1:16" x14ac:dyDescent="0.35">
      <c r="A1210">
        <v>5878027</v>
      </c>
      <c r="B1210" t="s">
        <v>6234</v>
      </c>
      <c r="C1210" t="str">
        <f>"9780500293676"</f>
        <v>9780500293676</v>
      </c>
      <c r="D1210" t="str">
        <f>"9780500774342"</f>
        <v>9780500774342</v>
      </c>
      <c r="E1210" t="s">
        <v>5336</v>
      </c>
      <c r="F1210" t="s">
        <v>5336</v>
      </c>
      <c r="G1210" s="1">
        <v>43389</v>
      </c>
      <c r="H1210" s="1">
        <v>43700</v>
      </c>
      <c r="I1210">
        <v>1</v>
      </c>
      <c r="K1210" t="s">
        <v>6235</v>
      </c>
      <c r="L1210" t="s">
        <v>26</v>
      </c>
      <c r="M1210" t="s">
        <v>6236</v>
      </c>
      <c r="N1210">
        <v>330.12200000000001</v>
      </c>
      <c r="O1210" t="s">
        <v>6237</v>
      </c>
      <c r="P1210" t="s">
        <v>18</v>
      </c>
    </row>
    <row r="1211" spans="1:16" x14ac:dyDescent="0.35">
      <c r="A1211">
        <v>5878133</v>
      </c>
      <c r="B1211" t="s">
        <v>6238</v>
      </c>
      <c r="C1211" t="str">
        <f>"9780500293652"</f>
        <v>9780500293652</v>
      </c>
      <c r="D1211" t="str">
        <f>"9780500774366"</f>
        <v>9780500774366</v>
      </c>
      <c r="E1211" t="s">
        <v>5336</v>
      </c>
      <c r="F1211" t="s">
        <v>5336</v>
      </c>
      <c r="G1211" s="1">
        <v>43389</v>
      </c>
      <c r="H1211" s="1">
        <v>43700</v>
      </c>
      <c r="I1211">
        <v>1</v>
      </c>
      <c r="K1211" t="s">
        <v>6239</v>
      </c>
      <c r="L1211" t="s">
        <v>33</v>
      </c>
      <c r="M1211" t="s">
        <v>6240</v>
      </c>
      <c r="N1211">
        <v>321.8</v>
      </c>
      <c r="O1211" t="s">
        <v>73</v>
      </c>
      <c r="P1211" t="s">
        <v>18</v>
      </c>
    </row>
    <row r="1212" spans="1:16" x14ac:dyDescent="0.35">
      <c r="A1212">
        <v>5570844</v>
      </c>
      <c r="B1212" t="s">
        <v>6241</v>
      </c>
      <c r="C1212" t="str">
        <f>"9781498586610"</f>
        <v>9781498586610</v>
      </c>
      <c r="D1212" t="str">
        <f>"9781498586627"</f>
        <v>9781498586627</v>
      </c>
      <c r="E1212" t="s">
        <v>446</v>
      </c>
      <c r="F1212" t="s">
        <v>446</v>
      </c>
      <c r="G1212" s="1">
        <v>43388</v>
      </c>
      <c r="H1212" s="1">
        <v>43406</v>
      </c>
      <c r="K1212" t="s">
        <v>6242</v>
      </c>
      <c r="L1212" t="s">
        <v>41</v>
      </c>
      <c r="M1212" t="s">
        <v>6243</v>
      </c>
      <c r="N1212">
        <v>338.23</v>
      </c>
      <c r="O1212" t="s">
        <v>6244</v>
      </c>
      <c r="P1212" t="s">
        <v>18</v>
      </c>
    </row>
    <row r="1213" spans="1:16" x14ac:dyDescent="0.35">
      <c r="A1213">
        <v>5552205</v>
      </c>
      <c r="B1213" t="s">
        <v>6245</v>
      </c>
      <c r="C1213" t="str">
        <f>"9780128113301"</f>
        <v>9780128113301</v>
      </c>
      <c r="D1213" t="str">
        <f>"9780128113318"</f>
        <v>9780128113318</v>
      </c>
      <c r="E1213" t="s">
        <v>190</v>
      </c>
      <c r="F1213" t="s">
        <v>191</v>
      </c>
      <c r="G1213" s="1">
        <v>43385</v>
      </c>
      <c r="H1213" s="1">
        <v>43386</v>
      </c>
      <c r="K1213" t="s">
        <v>6246</v>
      </c>
      <c r="L1213" t="s">
        <v>104</v>
      </c>
      <c r="M1213" t="s">
        <v>6247</v>
      </c>
      <c r="N1213">
        <v>628.16099999999994</v>
      </c>
      <c r="O1213" t="s">
        <v>6248</v>
      </c>
      <c r="P1213" t="s">
        <v>18</v>
      </c>
    </row>
    <row r="1214" spans="1:16" x14ac:dyDescent="0.35">
      <c r="A1214">
        <v>5674768</v>
      </c>
      <c r="B1214" t="s">
        <v>6249</v>
      </c>
      <c r="C1214" t="str">
        <f>""</f>
        <v/>
      </c>
      <c r="D1214" t="str">
        <f>"9781527527393"</f>
        <v>9781527527393</v>
      </c>
      <c r="E1214" t="s">
        <v>1662</v>
      </c>
      <c r="F1214" t="s">
        <v>1662</v>
      </c>
      <c r="G1214" s="1">
        <v>43381</v>
      </c>
      <c r="H1214" s="1">
        <v>43502</v>
      </c>
      <c r="K1214" t="s">
        <v>6250</v>
      </c>
      <c r="L1214" t="s">
        <v>23</v>
      </c>
      <c r="M1214" t="s">
        <v>6251</v>
      </c>
      <c r="N1214">
        <v>344.04599999999999</v>
      </c>
      <c r="O1214" t="s">
        <v>6252</v>
      </c>
      <c r="P1214" t="s">
        <v>18</v>
      </c>
    </row>
    <row r="1215" spans="1:16" x14ac:dyDescent="0.35">
      <c r="A1215">
        <v>5510004</v>
      </c>
      <c r="B1215" t="s">
        <v>6253</v>
      </c>
      <c r="C1215" t="str">
        <f>"9780309476010"</f>
        <v>9780309476010</v>
      </c>
      <c r="D1215" t="str">
        <f>"9780309476027"</f>
        <v>9780309476027</v>
      </c>
      <c r="E1215" t="s">
        <v>531</v>
      </c>
      <c r="F1215" t="s">
        <v>531</v>
      </c>
      <c r="G1215" s="1">
        <v>43377</v>
      </c>
      <c r="H1215" s="1">
        <v>43352</v>
      </c>
      <c r="I1215">
        <v>1</v>
      </c>
      <c r="K1215" t="s">
        <v>6254</v>
      </c>
      <c r="L1215" t="s">
        <v>6255</v>
      </c>
      <c r="P1215" t="s">
        <v>18</v>
      </c>
    </row>
    <row r="1216" spans="1:16" x14ac:dyDescent="0.35">
      <c r="A1216">
        <v>5494587</v>
      </c>
      <c r="B1216" t="s">
        <v>6256</v>
      </c>
      <c r="C1216" t="str">
        <f>""</f>
        <v/>
      </c>
      <c r="D1216" t="str">
        <f>"9781522545538"</f>
        <v>9781522545538</v>
      </c>
      <c r="E1216" t="s">
        <v>138</v>
      </c>
      <c r="F1216" t="s">
        <v>138</v>
      </c>
      <c r="G1216" s="1">
        <v>43374</v>
      </c>
      <c r="H1216" s="1">
        <v>43331</v>
      </c>
      <c r="K1216" t="s">
        <v>2410</v>
      </c>
      <c r="L1216" t="s">
        <v>38</v>
      </c>
      <c r="M1216" t="s">
        <v>6257</v>
      </c>
      <c r="N1216">
        <v>304.2</v>
      </c>
      <c r="O1216" t="s">
        <v>5819</v>
      </c>
      <c r="P1216" t="s">
        <v>18</v>
      </c>
    </row>
    <row r="1217" spans="1:16" x14ac:dyDescent="0.35">
      <c r="A1217">
        <v>5516332</v>
      </c>
      <c r="B1217" t="s">
        <v>6258</v>
      </c>
      <c r="C1217" t="str">
        <f>""</f>
        <v/>
      </c>
      <c r="D1217" t="str">
        <f>"9781522546665"</f>
        <v>9781522546665</v>
      </c>
      <c r="E1217" t="s">
        <v>138</v>
      </c>
      <c r="F1217" t="s">
        <v>138</v>
      </c>
      <c r="G1217" s="1">
        <v>43374</v>
      </c>
      <c r="H1217" s="1">
        <v>43359</v>
      </c>
      <c r="K1217" t="s">
        <v>3292</v>
      </c>
      <c r="L1217" t="s">
        <v>41</v>
      </c>
      <c r="M1217" t="s">
        <v>6259</v>
      </c>
      <c r="N1217">
        <v>338.92700000000002</v>
      </c>
      <c r="O1217" t="s">
        <v>5830</v>
      </c>
      <c r="P1217" t="s">
        <v>18</v>
      </c>
    </row>
    <row r="1218" spans="1:16" x14ac:dyDescent="0.35">
      <c r="A1218">
        <v>5518322</v>
      </c>
      <c r="B1218" t="s">
        <v>6260</v>
      </c>
      <c r="C1218" t="str">
        <f>"9781440856105"</f>
        <v>9781440856105</v>
      </c>
      <c r="D1218" t="str">
        <f>"9781440856112"</f>
        <v>9781440856112</v>
      </c>
      <c r="E1218" t="s">
        <v>440</v>
      </c>
      <c r="F1218" t="s">
        <v>440</v>
      </c>
      <c r="G1218" s="1">
        <v>43374</v>
      </c>
      <c r="H1218" s="1">
        <v>43363</v>
      </c>
      <c r="K1218" t="s">
        <v>6261</v>
      </c>
      <c r="L1218" t="s">
        <v>284</v>
      </c>
      <c r="M1218" t="s">
        <v>6262</v>
      </c>
      <c r="N1218">
        <v>333.709</v>
      </c>
      <c r="O1218" t="s">
        <v>6263</v>
      </c>
      <c r="P1218" t="s">
        <v>18</v>
      </c>
    </row>
    <row r="1219" spans="1:16" x14ac:dyDescent="0.35">
      <c r="A1219">
        <v>5530936</v>
      </c>
      <c r="B1219" t="s">
        <v>6264</v>
      </c>
      <c r="C1219" t="str">
        <f>"9780444640529"</f>
        <v>9780444640529</v>
      </c>
      <c r="D1219" t="str">
        <f>"9780444640536"</f>
        <v>9780444640536</v>
      </c>
      <c r="E1219" t="s">
        <v>1699</v>
      </c>
      <c r="F1219" t="s">
        <v>1699</v>
      </c>
      <c r="G1219" s="1">
        <v>43372</v>
      </c>
      <c r="H1219" s="1">
        <v>43376</v>
      </c>
      <c r="J1219" t="s">
        <v>6265</v>
      </c>
      <c r="K1219" t="s">
        <v>6266</v>
      </c>
      <c r="L1219" t="s">
        <v>146</v>
      </c>
      <c r="M1219" t="s">
        <v>6267</v>
      </c>
      <c r="N1219">
        <v>612.81299999999999</v>
      </c>
      <c r="O1219" t="s">
        <v>6268</v>
      </c>
      <c r="P1219" t="s">
        <v>18</v>
      </c>
    </row>
    <row r="1220" spans="1:16" x14ac:dyDescent="0.35">
      <c r="A1220">
        <v>5520111</v>
      </c>
      <c r="B1220" t="s">
        <v>6269</v>
      </c>
      <c r="C1220" t="str">
        <f>"9781788110945"</f>
        <v>9781788110945</v>
      </c>
      <c r="D1220" t="str">
        <f>"9781788110952"</f>
        <v>9781788110952</v>
      </c>
      <c r="E1220" t="s">
        <v>2080</v>
      </c>
      <c r="F1220" t="s">
        <v>2080</v>
      </c>
      <c r="G1220" s="1">
        <v>43371</v>
      </c>
      <c r="H1220" s="1">
        <v>43364</v>
      </c>
      <c r="J1220" t="s">
        <v>3157</v>
      </c>
      <c r="K1220" t="s">
        <v>6270</v>
      </c>
      <c r="L1220" t="s">
        <v>105</v>
      </c>
      <c r="M1220" t="s">
        <v>6271</v>
      </c>
      <c r="N1220" t="s">
        <v>6272</v>
      </c>
      <c r="O1220" t="s">
        <v>2583</v>
      </c>
      <c r="P1220" t="s">
        <v>18</v>
      </c>
    </row>
    <row r="1221" spans="1:16" x14ac:dyDescent="0.35">
      <c r="A1221">
        <v>5520118</v>
      </c>
      <c r="B1221" t="s">
        <v>6273</v>
      </c>
      <c r="C1221" t="str">
        <f>"9781788114134"</f>
        <v>9781788114134</v>
      </c>
      <c r="D1221" t="str">
        <f>"9781788114141"</f>
        <v>9781788114141</v>
      </c>
      <c r="E1221" t="s">
        <v>2080</v>
      </c>
      <c r="F1221" t="s">
        <v>2080</v>
      </c>
      <c r="G1221" s="1">
        <v>43371</v>
      </c>
      <c r="H1221" s="1">
        <v>43364</v>
      </c>
      <c r="K1221" t="s">
        <v>6274</v>
      </c>
      <c r="L1221" t="s">
        <v>28</v>
      </c>
      <c r="M1221" t="s">
        <v>6275</v>
      </c>
      <c r="N1221">
        <v>658.40830000000005</v>
      </c>
      <c r="O1221" t="s">
        <v>6276</v>
      </c>
      <c r="P1221" t="s">
        <v>18</v>
      </c>
    </row>
    <row r="1222" spans="1:16" x14ac:dyDescent="0.35">
      <c r="A1222">
        <v>5526625</v>
      </c>
      <c r="B1222" t="s">
        <v>6277</v>
      </c>
      <c r="C1222" t="str">
        <f>"9780128117569"</f>
        <v>9780128117569</v>
      </c>
      <c r="D1222" t="str">
        <f>"9780128117576"</f>
        <v>9780128117576</v>
      </c>
      <c r="E1222" t="s">
        <v>190</v>
      </c>
      <c r="F1222" t="s">
        <v>191</v>
      </c>
      <c r="G1222" s="1">
        <v>43371</v>
      </c>
      <c r="H1222" s="1">
        <v>43371</v>
      </c>
      <c r="I1222">
        <v>3</v>
      </c>
      <c r="K1222" t="s">
        <v>6278</v>
      </c>
      <c r="L1222" t="s">
        <v>168</v>
      </c>
      <c r="M1222" t="s">
        <v>6279</v>
      </c>
      <c r="N1222">
        <v>631.55801511799996</v>
      </c>
      <c r="O1222" t="s">
        <v>6280</v>
      </c>
      <c r="P1222" t="s">
        <v>18</v>
      </c>
    </row>
    <row r="1223" spans="1:16" x14ac:dyDescent="0.35">
      <c r="A1223">
        <v>6261612</v>
      </c>
      <c r="B1223" t="s">
        <v>6281</v>
      </c>
      <c r="C1223" t="str">
        <f>"9781506396767"</f>
        <v>9781506396767</v>
      </c>
      <c r="D1223" t="str">
        <f>"9781506396743"</f>
        <v>9781506396743</v>
      </c>
      <c r="E1223" t="s">
        <v>482</v>
      </c>
      <c r="F1223" t="s">
        <v>482</v>
      </c>
      <c r="G1223" s="1">
        <v>43367</v>
      </c>
      <c r="H1223" s="1">
        <v>44026</v>
      </c>
      <c r="I1223">
        <v>1</v>
      </c>
      <c r="J1223" t="s">
        <v>2383</v>
      </c>
      <c r="K1223" t="s">
        <v>6282</v>
      </c>
      <c r="L1223" t="s">
        <v>30</v>
      </c>
      <c r="M1223" t="s">
        <v>6283</v>
      </c>
      <c r="N1223">
        <v>371.3</v>
      </c>
      <c r="O1223" t="s">
        <v>6284</v>
      </c>
      <c r="P1223" t="s">
        <v>18</v>
      </c>
    </row>
    <row r="1224" spans="1:16" x14ac:dyDescent="0.35">
      <c r="A1224">
        <v>5518681</v>
      </c>
      <c r="B1224" t="s">
        <v>6285</v>
      </c>
      <c r="C1224" t="str">
        <f>"9780128158791"</f>
        <v>9780128158791</v>
      </c>
      <c r="D1224" t="str">
        <f>"9780128160190"</f>
        <v>9780128160190</v>
      </c>
      <c r="E1224" t="s">
        <v>190</v>
      </c>
      <c r="F1224" t="s">
        <v>280</v>
      </c>
      <c r="G1224" s="1">
        <v>43363</v>
      </c>
      <c r="H1224" s="1">
        <v>43363</v>
      </c>
      <c r="K1224" t="s">
        <v>6286</v>
      </c>
      <c r="L1224" t="s">
        <v>172</v>
      </c>
      <c r="M1224" t="s">
        <v>6287</v>
      </c>
      <c r="N1224">
        <v>579.178</v>
      </c>
      <c r="O1224" t="s">
        <v>6288</v>
      </c>
      <c r="P1224" t="s">
        <v>18</v>
      </c>
    </row>
    <row r="1225" spans="1:16" x14ac:dyDescent="0.35">
      <c r="A1225">
        <v>5520095</v>
      </c>
      <c r="B1225" t="s">
        <v>6289</v>
      </c>
      <c r="C1225" t="str">
        <f>"9780128140543"</f>
        <v>9780128140543</v>
      </c>
      <c r="D1225" t="str">
        <f>"9780128140550"</f>
        <v>9780128140550</v>
      </c>
      <c r="E1225" t="s">
        <v>1699</v>
      </c>
      <c r="F1225" t="s">
        <v>1699</v>
      </c>
      <c r="G1225" s="1">
        <v>43363</v>
      </c>
      <c r="H1225" s="1">
        <v>43364</v>
      </c>
      <c r="K1225" t="s">
        <v>6290</v>
      </c>
      <c r="L1225" t="s">
        <v>3361</v>
      </c>
      <c r="M1225" t="s">
        <v>6291</v>
      </c>
      <c r="N1225">
        <v>387.1</v>
      </c>
      <c r="O1225" t="s">
        <v>6292</v>
      </c>
      <c r="P1225" t="s">
        <v>18</v>
      </c>
    </row>
    <row r="1226" spans="1:16" x14ac:dyDescent="0.35">
      <c r="A1226">
        <v>5520362</v>
      </c>
      <c r="B1226" t="s">
        <v>6293</v>
      </c>
      <c r="C1226" t="str">
        <f>"9780128109854"</f>
        <v>9780128109854</v>
      </c>
      <c r="D1226" t="str">
        <f>"9780128109861"</f>
        <v>9780128109861</v>
      </c>
      <c r="E1226" t="s">
        <v>1699</v>
      </c>
      <c r="F1226" t="s">
        <v>1699</v>
      </c>
      <c r="G1226" s="1">
        <v>43363</v>
      </c>
      <c r="H1226" s="1">
        <v>43364</v>
      </c>
      <c r="K1226" t="s">
        <v>6294</v>
      </c>
      <c r="L1226" t="s">
        <v>126</v>
      </c>
      <c r="M1226" t="s">
        <v>6295</v>
      </c>
      <c r="N1226">
        <v>551.48</v>
      </c>
      <c r="O1226" t="s">
        <v>3584</v>
      </c>
      <c r="P1226" t="s">
        <v>18</v>
      </c>
    </row>
    <row r="1227" spans="1:16" x14ac:dyDescent="0.35">
      <c r="A1227">
        <v>5477526</v>
      </c>
      <c r="B1227" t="s">
        <v>6296</v>
      </c>
      <c r="C1227" t="str">
        <f>"9781786992833"</f>
        <v>9781786992833</v>
      </c>
      <c r="D1227" t="str">
        <f>"9781786992857"</f>
        <v>9781786992857</v>
      </c>
      <c r="E1227" t="s">
        <v>392</v>
      </c>
      <c r="F1227" t="s">
        <v>393</v>
      </c>
      <c r="G1227" s="1">
        <v>43358</v>
      </c>
      <c r="H1227" s="1">
        <v>43310</v>
      </c>
      <c r="I1227">
        <v>1</v>
      </c>
      <c r="K1227" t="s">
        <v>6297</v>
      </c>
      <c r="L1227" t="s">
        <v>34</v>
      </c>
      <c r="M1227" t="s">
        <v>6298</v>
      </c>
      <c r="N1227" t="s">
        <v>6299</v>
      </c>
      <c r="O1227" t="s">
        <v>6300</v>
      </c>
      <c r="P1227" t="s">
        <v>18</v>
      </c>
    </row>
    <row r="1228" spans="1:16" x14ac:dyDescent="0.35">
      <c r="A1228">
        <v>5504454</v>
      </c>
      <c r="B1228" t="s">
        <v>6301</v>
      </c>
      <c r="C1228" t="str">
        <f>"9781440861857"</f>
        <v>9781440861857</v>
      </c>
      <c r="D1228" t="str">
        <f>"9781440861864"</f>
        <v>9781440861864</v>
      </c>
      <c r="E1228" t="s">
        <v>440</v>
      </c>
      <c r="F1228" t="s">
        <v>441</v>
      </c>
      <c r="G1228" s="1">
        <v>43357</v>
      </c>
      <c r="H1228" s="1">
        <v>43344</v>
      </c>
      <c r="K1228" t="s">
        <v>6302</v>
      </c>
      <c r="L1228" t="s">
        <v>26</v>
      </c>
      <c r="M1228" t="s">
        <v>6303</v>
      </c>
      <c r="N1228" t="s">
        <v>6304</v>
      </c>
      <c r="O1228" t="s">
        <v>6305</v>
      </c>
      <c r="P1228" t="s">
        <v>18</v>
      </c>
    </row>
    <row r="1229" spans="1:16" x14ac:dyDescent="0.35">
      <c r="A1229">
        <v>5517505</v>
      </c>
      <c r="B1229" t="s">
        <v>6306</v>
      </c>
      <c r="C1229" t="str">
        <f>"9780128167229"</f>
        <v>9780128167229</v>
      </c>
      <c r="D1229" t="str">
        <f>"9780128168882"</f>
        <v>9780128168882</v>
      </c>
      <c r="E1229" t="s">
        <v>190</v>
      </c>
      <c r="F1229" t="s">
        <v>282</v>
      </c>
      <c r="G1229" s="1">
        <v>43357</v>
      </c>
      <c r="H1229" s="1">
        <v>43362</v>
      </c>
      <c r="K1229" t="s">
        <v>6307</v>
      </c>
      <c r="L1229" t="s">
        <v>61</v>
      </c>
      <c r="M1229" t="s">
        <v>6308</v>
      </c>
      <c r="N1229">
        <v>720.47</v>
      </c>
      <c r="O1229" t="s">
        <v>6309</v>
      </c>
      <c r="P1229" t="s">
        <v>18</v>
      </c>
    </row>
    <row r="1230" spans="1:16" x14ac:dyDescent="0.35">
      <c r="A1230">
        <v>5511115</v>
      </c>
      <c r="B1230" t="s">
        <v>6310</v>
      </c>
      <c r="C1230" t="str">
        <f>"9780128050521"</f>
        <v>9780128050521</v>
      </c>
      <c r="D1230" t="str">
        <f>"9780128052044"</f>
        <v>9780128052044</v>
      </c>
      <c r="E1230" t="s">
        <v>190</v>
      </c>
      <c r="F1230" t="s">
        <v>191</v>
      </c>
      <c r="G1230" s="1">
        <v>43356</v>
      </c>
      <c r="H1230" s="1">
        <v>43355</v>
      </c>
      <c r="I1230">
        <v>2</v>
      </c>
      <c r="K1230" t="s">
        <v>6187</v>
      </c>
      <c r="L1230" t="s">
        <v>144</v>
      </c>
      <c r="M1230" t="s">
        <v>6311</v>
      </c>
      <c r="N1230">
        <v>578.77</v>
      </c>
      <c r="O1230" t="s">
        <v>6312</v>
      </c>
      <c r="P1230" t="s">
        <v>18</v>
      </c>
    </row>
    <row r="1231" spans="1:16" x14ac:dyDescent="0.35">
      <c r="A1231">
        <v>5572343</v>
      </c>
      <c r="B1231" t="s">
        <v>6313</v>
      </c>
      <c r="C1231" t="str">
        <f>"9781536142938"</f>
        <v>9781536142938</v>
      </c>
      <c r="D1231" t="str">
        <f>"9781536142945"</f>
        <v>9781536142945</v>
      </c>
      <c r="E1231" t="s">
        <v>1689</v>
      </c>
      <c r="F1231" t="s">
        <v>1689</v>
      </c>
      <c r="G1231" s="1">
        <v>43356</v>
      </c>
      <c r="H1231" s="1">
        <v>43407</v>
      </c>
      <c r="I1231">
        <v>1</v>
      </c>
      <c r="J1231" t="s">
        <v>6314</v>
      </c>
      <c r="K1231" t="s">
        <v>6315</v>
      </c>
      <c r="L1231" t="s">
        <v>28</v>
      </c>
      <c r="M1231" t="s">
        <v>6316</v>
      </c>
      <c r="N1231">
        <v>658.40800000000002</v>
      </c>
      <c r="O1231" t="s">
        <v>2272</v>
      </c>
      <c r="P1231" t="s">
        <v>18</v>
      </c>
    </row>
    <row r="1232" spans="1:16" x14ac:dyDescent="0.35">
      <c r="A1232">
        <v>5493349</v>
      </c>
      <c r="B1232" t="s">
        <v>6317</v>
      </c>
      <c r="C1232" t="str">
        <f>"9781522554240"</f>
        <v>9781522554240</v>
      </c>
      <c r="D1232" t="str">
        <f>"9781522554257"</f>
        <v>9781522554257</v>
      </c>
      <c r="E1232" t="s">
        <v>138</v>
      </c>
      <c r="F1232" t="s">
        <v>1769</v>
      </c>
      <c r="G1232" s="1">
        <v>43350</v>
      </c>
      <c r="H1232" s="1">
        <v>43329</v>
      </c>
      <c r="K1232" t="s">
        <v>6318</v>
      </c>
      <c r="L1232" t="s">
        <v>28</v>
      </c>
      <c r="M1232" t="s">
        <v>6319</v>
      </c>
      <c r="P1232" t="s">
        <v>18</v>
      </c>
    </row>
    <row r="1233" spans="1:16" x14ac:dyDescent="0.35">
      <c r="A1233">
        <v>5493358</v>
      </c>
      <c r="B1233" t="s">
        <v>6320</v>
      </c>
      <c r="C1233" t="str">
        <f>"9781522558439"</f>
        <v>9781522558439</v>
      </c>
      <c r="D1233" t="str">
        <f>"9781522558446"</f>
        <v>9781522558446</v>
      </c>
      <c r="E1233" t="s">
        <v>138</v>
      </c>
      <c r="F1233" t="s">
        <v>1764</v>
      </c>
      <c r="G1233" s="1">
        <v>43350</v>
      </c>
      <c r="H1233" s="1">
        <v>43329</v>
      </c>
      <c r="K1233" t="s">
        <v>6321</v>
      </c>
      <c r="L1233" t="s">
        <v>284</v>
      </c>
      <c r="M1233" t="s">
        <v>6322</v>
      </c>
      <c r="N1233">
        <v>333.7</v>
      </c>
      <c r="P1233" t="s">
        <v>18</v>
      </c>
    </row>
    <row r="1234" spans="1:16" x14ac:dyDescent="0.35">
      <c r="A1234">
        <v>5510598</v>
      </c>
      <c r="B1234" t="s">
        <v>6323</v>
      </c>
      <c r="C1234" t="str">
        <f>"9780128111574"</f>
        <v>9780128111574</v>
      </c>
      <c r="D1234" t="str">
        <f>"9780128111581"</f>
        <v>9780128111581</v>
      </c>
      <c r="E1234" t="s">
        <v>190</v>
      </c>
      <c r="F1234" t="s">
        <v>191</v>
      </c>
      <c r="G1234" s="1">
        <v>43350</v>
      </c>
      <c r="H1234" s="1">
        <v>43354</v>
      </c>
      <c r="K1234" t="s">
        <v>6324</v>
      </c>
      <c r="L1234" t="s">
        <v>5637</v>
      </c>
      <c r="M1234" t="s">
        <v>6325</v>
      </c>
      <c r="N1234">
        <v>333.79379999999998</v>
      </c>
      <c r="O1234" t="s">
        <v>6326</v>
      </c>
      <c r="P1234" t="s">
        <v>18</v>
      </c>
    </row>
    <row r="1235" spans="1:16" x14ac:dyDescent="0.35">
      <c r="A1235">
        <v>5492082</v>
      </c>
      <c r="B1235" t="s">
        <v>6327</v>
      </c>
      <c r="C1235" t="str">
        <f>"9781538112090"</f>
        <v>9781538112090</v>
      </c>
      <c r="D1235" t="str">
        <f>"9781538112113"</f>
        <v>9781538112113</v>
      </c>
      <c r="E1235" t="s">
        <v>443</v>
      </c>
      <c r="F1235" t="s">
        <v>443</v>
      </c>
      <c r="G1235" s="1">
        <v>43348</v>
      </c>
      <c r="H1235" s="1">
        <v>43327</v>
      </c>
      <c r="J1235" t="s">
        <v>6328</v>
      </c>
      <c r="K1235" t="s">
        <v>6329</v>
      </c>
      <c r="L1235" t="s">
        <v>154</v>
      </c>
      <c r="P1235" t="s">
        <v>18</v>
      </c>
    </row>
    <row r="1236" spans="1:16" x14ac:dyDescent="0.35">
      <c r="A1236">
        <v>5509389</v>
      </c>
      <c r="B1236" t="s">
        <v>6330</v>
      </c>
      <c r="C1236" t="str">
        <f>"9780081008539"</f>
        <v>9780081008539</v>
      </c>
      <c r="D1236" t="str">
        <f>"9780128052037"</f>
        <v>9780128052037</v>
      </c>
      <c r="E1236" t="s">
        <v>190</v>
      </c>
      <c r="F1236" t="s">
        <v>191</v>
      </c>
      <c r="G1236" s="1">
        <v>43348</v>
      </c>
      <c r="H1236" s="1">
        <v>43351</v>
      </c>
      <c r="I1236">
        <v>2</v>
      </c>
      <c r="K1236" t="s">
        <v>6187</v>
      </c>
      <c r="L1236" t="s">
        <v>144</v>
      </c>
      <c r="M1236" t="s">
        <v>6331</v>
      </c>
      <c r="N1236">
        <v>578.77</v>
      </c>
      <c r="O1236" t="s">
        <v>6332</v>
      </c>
      <c r="P1236" t="s">
        <v>18</v>
      </c>
    </row>
    <row r="1237" spans="1:16" x14ac:dyDescent="0.35">
      <c r="A1237">
        <v>5509505</v>
      </c>
      <c r="B1237" t="s">
        <v>6333</v>
      </c>
      <c r="C1237" t="str">
        <f>"9780128151525"</f>
        <v>9780128151525</v>
      </c>
      <c r="D1237" t="str">
        <f>"9780128151532"</f>
        <v>9780128151532</v>
      </c>
      <c r="E1237" t="s">
        <v>190</v>
      </c>
      <c r="F1237" t="s">
        <v>191</v>
      </c>
      <c r="G1237" s="1">
        <v>43347</v>
      </c>
      <c r="H1237" s="1">
        <v>43351</v>
      </c>
      <c r="K1237" t="s">
        <v>6334</v>
      </c>
      <c r="L1237" t="s">
        <v>195</v>
      </c>
      <c r="M1237" t="s">
        <v>6335</v>
      </c>
      <c r="N1237">
        <v>333.79095100000001</v>
      </c>
      <c r="O1237" t="s">
        <v>6336</v>
      </c>
      <c r="P1237" t="s">
        <v>18</v>
      </c>
    </row>
    <row r="1238" spans="1:16" x14ac:dyDescent="0.35">
      <c r="A1238">
        <v>5504801</v>
      </c>
      <c r="B1238" t="s">
        <v>6337</v>
      </c>
      <c r="C1238" t="str">
        <f>"9780128092484"</f>
        <v>9780128092484</v>
      </c>
      <c r="D1238" t="str">
        <f>"9780128092576"</f>
        <v>9780128092576</v>
      </c>
      <c r="E1238" t="s">
        <v>1699</v>
      </c>
      <c r="F1238" t="s">
        <v>1699</v>
      </c>
      <c r="G1238" s="1">
        <v>43346</v>
      </c>
      <c r="H1238" s="1">
        <v>43345</v>
      </c>
      <c r="K1238" t="s">
        <v>6338</v>
      </c>
      <c r="L1238" t="s">
        <v>299</v>
      </c>
      <c r="M1238" t="s">
        <v>6339</v>
      </c>
      <c r="N1238">
        <v>363.45097299999998</v>
      </c>
      <c r="O1238" t="s">
        <v>6340</v>
      </c>
      <c r="P1238" t="s">
        <v>18</v>
      </c>
    </row>
    <row r="1239" spans="1:16" x14ac:dyDescent="0.35">
      <c r="A1239">
        <v>5508497</v>
      </c>
      <c r="B1239" t="s">
        <v>6341</v>
      </c>
      <c r="C1239" t="str">
        <f>"9780128147238"</f>
        <v>9780128147238</v>
      </c>
      <c r="D1239" t="str">
        <f>"9780128147245"</f>
        <v>9780128147245</v>
      </c>
      <c r="E1239" t="s">
        <v>190</v>
      </c>
      <c r="F1239" t="s">
        <v>191</v>
      </c>
      <c r="G1239" s="1">
        <v>43346</v>
      </c>
      <c r="H1239" s="1">
        <v>43350</v>
      </c>
      <c r="I1239">
        <v>2</v>
      </c>
      <c r="K1239" t="s">
        <v>6342</v>
      </c>
      <c r="L1239" t="s">
        <v>408</v>
      </c>
      <c r="M1239" t="s">
        <v>6343</v>
      </c>
      <c r="N1239" t="s">
        <v>6344</v>
      </c>
      <c r="O1239" t="s">
        <v>6345</v>
      </c>
      <c r="P1239" t="s">
        <v>18</v>
      </c>
    </row>
    <row r="1240" spans="1:16" x14ac:dyDescent="0.35">
      <c r="A1240">
        <v>5514488</v>
      </c>
      <c r="B1240" t="s">
        <v>6346</v>
      </c>
      <c r="C1240" t="str">
        <f>"9780128162460"</f>
        <v>9780128162460</v>
      </c>
      <c r="D1240" t="str">
        <f>"9780128162477"</f>
        <v>9780128162477</v>
      </c>
      <c r="E1240" t="s">
        <v>1699</v>
      </c>
      <c r="F1240" t="s">
        <v>1699</v>
      </c>
      <c r="G1240" s="1">
        <v>43346</v>
      </c>
      <c r="H1240" s="1">
        <v>43356</v>
      </c>
      <c r="K1240" t="s">
        <v>6347</v>
      </c>
      <c r="L1240" t="s">
        <v>113</v>
      </c>
      <c r="M1240" t="s">
        <v>6348</v>
      </c>
      <c r="N1240" t="s">
        <v>6349</v>
      </c>
      <c r="O1240" t="s">
        <v>6350</v>
      </c>
      <c r="P1240" t="s">
        <v>18</v>
      </c>
    </row>
    <row r="1241" spans="1:16" x14ac:dyDescent="0.35">
      <c r="A1241">
        <v>5512113</v>
      </c>
      <c r="B1241" t="s">
        <v>6351</v>
      </c>
      <c r="C1241" t="str">
        <f>""</f>
        <v/>
      </c>
      <c r="D1241" t="str">
        <f>"9789086868742"</f>
        <v>9789086868742</v>
      </c>
      <c r="E1241" t="s">
        <v>2565</v>
      </c>
      <c r="F1241" t="s">
        <v>2565</v>
      </c>
      <c r="G1241" s="1">
        <v>43344</v>
      </c>
      <c r="H1241" s="1">
        <v>43356</v>
      </c>
      <c r="I1241">
        <v>1</v>
      </c>
      <c r="K1241" t="s">
        <v>6352</v>
      </c>
      <c r="L1241" t="s">
        <v>26</v>
      </c>
      <c r="M1241" t="s">
        <v>6353</v>
      </c>
      <c r="N1241">
        <v>338.92700000000002</v>
      </c>
      <c r="O1241" t="s">
        <v>503</v>
      </c>
      <c r="P1241" t="s">
        <v>18</v>
      </c>
    </row>
    <row r="1242" spans="1:16" x14ac:dyDescent="0.35">
      <c r="A1242">
        <v>5515771</v>
      </c>
      <c r="B1242" t="s">
        <v>6354</v>
      </c>
      <c r="C1242" t="str">
        <f>"9783161562112"</f>
        <v>9783161562112</v>
      </c>
      <c r="D1242" t="str">
        <f>"9783161562129"</f>
        <v>9783161562129</v>
      </c>
      <c r="E1242" t="s">
        <v>4379</v>
      </c>
      <c r="F1242" t="s">
        <v>4379</v>
      </c>
      <c r="G1242" s="1">
        <v>43344</v>
      </c>
      <c r="H1242" s="1">
        <v>43358</v>
      </c>
      <c r="I1242">
        <v>1</v>
      </c>
      <c r="J1242" t="s">
        <v>6355</v>
      </c>
      <c r="K1242" t="s">
        <v>6356</v>
      </c>
      <c r="L1242" t="s">
        <v>49</v>
      </c>
      <c r="M1242" t="s">
        <v>6316</v>
      </c>
      <c r="N1242">
        <v>362.55765091723998</v>
      </c>
      <c r="O1242" t="s">
        <v>6357</v>
      </c>
      <c r="P1242" t="s">
        <v>315</v>
      </c>
    </row>
    <row r="1243" spans="1:16" x14ac:dyDescent="0.35">
      <c r="A1243">
        <v>5497271</v>
      </c>
      <c r="B1243" t="s">
        <v>6358</v>
      </c>
      <c r="C1243" t="str">
        <f>"9780128137666"</f>
        <v>9780128137666</v>
      </c>
      <c r="D1243" t="str">
        <f>"9780128137673"</f>
        <v>9780128137673</v>
      </c>
      <c r="E1243" t="s">
        <v>190</v>
      </c>
      <c r="F1243" t="s">
        <v>191</v>
      </c>
      <c r="G1243" s="1">
        <v>43341</v>
      </c>
      <c r="H1243" s="1">
        <v>43337</v>
      </c>
      <c r="K1243" t="s">
        <v>6359</v>
      </c>
      <c r="L1243" t="s">
        <v>118</v>
      </c>
      <c r="M1243" t="s">
        <v>6360</v>
      </c>
      <c r="P1243" t="s">
        <v>18</v>
      </c>
    </row>
    <row r="1244" spans="1:16" x14ac:dyDescent="0.35">
      <c r="A1244">
        <v>5497277</v>
      </c>
      <c r="B1244" t="s">
        <v>6361</v>
      </c>
      <c r="C1244" t="str">
        <f>"9780128155561"</f>
        <v>9780128155561</v>
      </c>
      <c r="D1244" t="str">
        <f>"9780128158371"</f>
        <v>9780128158371</v>
      </c>
      <c r="E1244" t="s">
        <v>190</v>
      </c>
      <c r="F1244" t="s">
        <v>191</v>
      </c>
      <c r="G1244" s="1">
        <v>43341</v>
      </c>
      <c r="H1244" s="1">
        <v>43337</v>
      </c>
      <c r="K1244" t="s">
        <v>6362</v>
      </c>
      <c r="L1244" t="s">
        <v>408</v>
      </c>
      <c r="M1244" t="s">
        <v>6363</v>
      </c>
      <c r="P1244" t="s">
        <v>18</v>
      </c>
    </row>
    <row r="1245" spans="1:16" x14ac:dyDescent="0.35">
      <c r="A1245">
        <v>5504718</v>
      </c>
      <c r="B1245" t="s">
        <v>6364</v>
      </c>
      <c r="C1245" t="str">
        <f>"9780128050682"</f>
        <v>9780128050682</v>
      </c>
      <c r="D1245" t="str">
        <f>"9780128052020"</f>
        <v>9780128052020</v>
      </c>
      <c r="E1245" t="s">
        <v>190</v>
      </c>
      <c r="F1245" t="s">
        <v>191</v>
      </c>
      <c r="G1245" s="1">
        <v>43341</v>
      </c>
      <c r="H1245" s="1">
        <v>43344</v>
      </c>
      <c r="I1245">
        <v>2</v>
      </c>
      <c r="K1245" t="s">
        <v>6187</v>
      </c>
      <c r="L1245" t="s">
        <v>172</v>
      </c>
      <c r="M1245" t="s">
        <v>6365</v>
      </c>
      <c r="N1245">
        <v>578.77</v>
      </c>
      <c r="O1245" t="s">
        <v>6366</v>
      </c>
      <c r="P1245" t="s">
        <v>18</v>
      </c>
    </row>
    <row r="1246" spans="1:16" x14ac:dyDescent="0.35">
      <c r="A1246">
        <v>5489337</v>
      </c>
      <c r="B1246" t="s">
        <v>6367</v>
      </c>
      <c r="C1246" t="str">
        <f>"9781522560029"</f>
        <v>9781522560029</v>
      </c>
      <c r="D1246" t="str">
        <f>"9781522560043"</f>
        <v>9781522560043</v>
      </c>
      <c r="E1246" t="s">
        <v>138</v>
      </c>
      <c r="F1246" t="s">
        <v>1764</v>
      </c>
      <c r="G1246" s="1">
        <v>43336</v>
      </c>
      <c r="H1246" s="1">
        <v>43322</v>
      </c>
      <c r="K1246" t="s">
        <v>6368</v>
      </c>
      <c r="L1246" t="s">
        <v>6369</v>
      </c>
      <c r="M1246" t="s">
        <v>6370</v>
      </c>
      <c r="N1246" t="s">
        <v>6371</v>
      </c>
      <c r="P1246" t="s">
        <v>18</v>
      </c>
    </row>
    <row r="1247" spans="1:16" x14ac:dyDescent="0.35">
      <c r="A1247">
        <v>5495405</v>
      </c>
      <c r="B1247" t="s">
        <v>6372</v>
      </c>
      <c r="C1247" t="str">
        <f>"9781785339882"</f>
        <v>9781785339882</v>
      </c>
      <c r="D1247" t="str">
        <f>"9781785339899"</f>
        <v>9781785339899</v>
      </c>
      <c r="E1247" t="s">
        <v>447</v>
      </c>
      <c r="F1247" t="s">
        <v>447</v>
      </c>
      <c r="G1247" s="1">
        <v>43336</v>
      </c>
      <c r="H1247" s="1">
        <v>43338</v>
      </c>
      <c r="I1247">
        <v>1</v>
      </c>
      <c r="J1247" t="s">
        <v>4079</v>
      </c>
      <c r="K1247" t="s">
        <v>6373</v>
      </c>
      <c r="L1247" t="s">
        <v>45</v>
      </c>
      <c r="M1247" t="s">
        <v>6374</v>
      </c>
      <c r="N1247">
        <v>304.209881</v>
      </c>
      <c r="P1247" t="s">
        <v>18</v>
      </c>
    </row>
    <row r="1248" spans="1:16" x14ac:dyDescent="0.35">
      <c r="A1248">
        <v>5485648</v>
      </c>
      <c r="B1248" t="s">
        <v>6375</v>
      </c>
      <c r="C1248" t="str">
        <f>"9783035713916"</f>
        <v>9783035713916</v>
      </c>
      <c r="D1248" t="str">
        <f>"9783035733914"</f>
        <v>9783035733914</v>
      </c>
      <c r="E1248" t="s">
        <v>1649</v>
      </c>
      <c r="F1248" t="s">
        <v>1649</v>
      </c>
      <c r="G1248" s="1">
        <v>43332</v>
      </c>
      <c r="H1248" s="1">
        <v>43319</v>
      </c>
      <c r="I1248">
        <v>1</v>
      </c>
      <c r="J1248" t="s">
        <v>4195</v>
      </c>
      <c r="K1248" t="s">
        <v>6376</v>
      </c>
      <c r="L1248" t="s">
        <v>6377</v>
      </c>
      <c r="P1248" t="s">
        <v>18</v>
      </c>
    </row>
    <row r="1249" spans="1:16" x14ac:dyDescent="0.35">
      <c r="A1249">
        <v>5455665</v>
      </c>
      <c r="B1249" t="s">
        <v>6378</v>
      </c>
      <c r="C1249" t="str">
        <f>"9781522562702"</f>
        <v>9781522562702</v>
      </c>
      <c r="D1249" t="str">
        <f>"9781522562719"</f>
        <v>9781522562719</v>
      </c>
      <c r="E1249" t="s">
        <v>138</v>
      </c>
      <c r="F1249" t="s">
        <v>1769</v>
      </c>
      <c r="G1249" s="1">
        <v>43329</v>
      </c>
      <c r="H1249" s="1">
        <v>43301</v>
      </c>
      <c r="K1249" t="s">
        <v>6379</v>
      </c>
      <c r="L1249" t="s">
        <v>49</v>
      </c>
      <c r="M1249" t="s">
        <v>6380</v>
      </c>
      <c r="N1249" t="s">
        <v>214</v>
      </c>
      <c r="O1249" t="s">
        <v>6381</v>
      </c>
      <c r="P1249" t="s">
        <v>18</v>
      </c>
    </row>
    <row r="1250" spans="1:16" x14ac:dyDescent="0.35">
      <c r="A1250">
        <v>5477766</v>
      </c>
      <c r="B1250" t="s">
        <v>6382</v>
      </c>
      <c r="C1250" t="str">
        <f>"9781522554424"</f>
        <v>9781522554424</v>
      </c>
      <c r="D1250" t="str">
        <f>"9781522554431"</f>
        <v>9781522554431</v>
      </c>
      <c r="E1250" t="s">
        <v>138</v>
      </c>
      <c r="F1250" t="s">
        <v>1769</v>
      </c>
      <c r="G1250" s="1">
        <v>43329</v>
      </c>
      <c r="H1250" s="1">
        <v>43311</v>
      </c>
      <c r="K1250" t="s">
        <v>6383</v>
      </c>
      <c r="L1250" t="s">
        <v>28</v>
      </c>
      <c r="M1250" t="s">
        <v>6384</v>
      </c>
      <c r="N1250" t="s">
        <v>337</v>
      </c>
      <c r="O1250" t="s">
        <v>6385</v>
      </c>
      <c r="P1250" t="s">
        <v>18</v>
      </c>
    </row>
    <row r="1251" spans="1:16" x14ac:dyDescent="0.35">
      <c r="A1251">
        <v>5477767</v>
      </c>
      <c r="B1251" t="s">
        <v>6386</v>
      </c>
      <c r="C1251" t="str">
        <f>"9781522557876"</f>
        <v>9781522557876</v>
      </c>
      <c r="D1251" t="str">
        <f>"9781522557883"</f>
        <v>9781522557883</v>
      </c>
      <c r="E1251" t="s">
        <v>138</v>
      </c>
      <c r="F1251" t="s">
        <v>1769</v>
      </c>
      <c r="G1251" s="1">
        <v>43329</v>
      </c>
      <c r="H1251" s="1">
        <v>43311</v>
      </c>
      <c r="K1251" t="s">
        <v>6387</v>
      </c>
      <c r="L1251" t="s">
        <v>41</v>
      </c>
      <c r="M1251" t="s">
        <v>6388</v>
      </c>
      <c r="N1251" t="s">
        <v>6389</v>
      </c>
      <c r="O1251" t="s">
        <v>503</v>
      </c>
      <c r="P1251" t="s">
        <v>18</v>
      </c>
    </row>
    <row r="1252" spans="1:16" x14ac:dyDescent="0.35">
      <c r="A1252">
        <v>5477768</v>
      </c>
      <c r="B1252" t="s">
        <v>6390</v>
      </c>
      <c r="C1252" t="str">
        <f>"9781522557395"</f>
        <v>9781522557395</v>
      </c>
      <c r="D1252" t="str">
        <f>"9781522557401"</f>
        <v>9781522557401</v>
      </c>
      <c r="E1252" t="s">
        <v>138</v>
      </c>
      <c r="F1252" t="s">
        <v>1764</v>
      </c>
      <c r="G1252" s="1">
        <v>43329</v>
      </c>
      <c r="H1252" s="1">
        <v>43311</v>
      </c>
      <c r="K1252" t="s">
        <v>6391</v>
      </c>
      <c r="L1252" t="s">
        <v>370</v>
      </c>
      <c r="M1252" t="s">
        <v>6392</v>
      </c>
      <c r="N1252">
        <v>338.10939999999999</v>
      </c>
      <c r="O1252" t="s">
        <v>6393</v>
      </c>
      <c r="P1252" t="s">
        <v>18</v>
      </c>
    </row>
    <row r="1253" spans="1:16" x14ac:dyDescent="0.35">
      <c r="A1253">
        <v>5490711</v>
      </c>
      <c r="B1253" t="s">
        <v>6394</v>
      </c>
      <c r="C1253" t="str">
        <f>"9781785339806"</f>
        <v>9781785339806</v>
      </c>
      <c r="D1253" t="str">
        <f>"9781785339813"</f>
        <v>9781785339813</v>
      </c>
      <c r="E1253" t="s">
        <v>447</v>
      </c>
      <c r="F1253" t="s">
        <v>447</v>
      </c>
      <c r="G1253" s="1">
        <v>43329</v>
      </c>
      <c r="H1253" s="1">
        <v>43324</v>
      </c>
      <c r="I1253">
        <v>1</v>
      </c>
      <c r="J1253" t="s">
        <v>6395</v>
      </c>
      <c r="K1253" t="s">
        <v>6396</v>
      </c>
      <c r="L1253" t="s">
        <v>334</v>
      </c>
      <c r="M1253" t="s">
        <v>6397</v>
      </c>
      <c r="N1253">
        <v>334.683094547</v>
      </c>
      <c r="P1253" t="s">
        <v>18</v>
      </c>
    </row>
    <row r="1254" spans="1:16" x14ac:dyDescent="0.35">
      <c r="A1254">
        <v>5493449</v>
      </c>
      <c r="B1254" t="s">
        <v>6398</v>
      </c>
      <c r="C1254" t="str">
        <f>"9780081020746"</f>
        <v>9780081020746</v>
      </c>
      <c r="D1254" t="str">
        <f>"9780081020753"</f>
        <v>9780081020753</v>
      </c>
      <c r="E1254" t="s">
        <v>1699</v>
      </c>
      <c r="F1254" t="s">
        <v>1699</v>
      </c>
      <c r="G1254" s="1">
        <v>43329</v>
      </c>
      <c r="H1254" s="1">
        <v>43329</v>
      </c>
      <c r="I1254">
        <v>2</v>
      </c>
      <c r="K1254" t="s">
        <v>6399</v>
      </c>
      <c r="L1254" t="s">
        <v>92</v>
      </c>
      <c r="M1254" t="s">
        <v>6400</v>
      </c>
      <c r="N1254">
        <v>333.79091732000001</v>
      </c>
      <c r="O1254" t="s">
        <v>6401</v>
      </c>
      <c r="P1254" t="s">
        <v>18</v>
      </c>
    </row>
    <row r="1255" spans="1:16" x14ac:dyDescent="0.35">
      <c r="A1255">
        <v>5528931</v>
      </c>
      <c r="B1255" t="s">
        <v>6402</v>
      </c>
      <c r="C1255" t="str">
        <f>"9780128005392"</f>
        <v>9780128005392</v>
      </c>
      <c r="D1255" t="str">
        <f>"9780128006672"</f>
        <v>9780128006672</v>
      </c>
      <c r="E1255" t="s">
        <v>190</v>
      </c>
      <c r="F1255" t="s">
        <v>282</v>
      </c>
      <c r="G1255" s="1">
        <v>43329</v>
      </c>
      <c r="H1255" s="1">
        <v>43373</v>
      </c>
      <c r="K1255" t="s">
        <v>324</v>
      </c>
      <c r="L1255" t="s">
        <v>2104</v>
      </c>
      <c r="M1255" t="s">
        <v>6403</v>
      </c>
      <c r="N1255">
        <v>628</v>
      </c>
      <c r="O1255" t="s">
        <v>6404</v>
      </c>
      <c r="P1255" t="s">
        <v>18</v>
      </c>
    </row>
    <row r="1256" spans="1:16" x14ac:dyDescent="0.35">
      <c r="A1256">
        <v>5491627</v>
      </c>
      <c r="B1256" t="s">
        <v>6405</v>
      </c>
      <c r="C1256" t="str">
        <f>"9780128050910"</f>
        <v>9780128050910</v>
      </c>
      <c r="D1256" t="str">
        <f>"9780128050927"</f>
        <v>9780128050927</v>
      </c>
      <c r="E1256" t="s">
        <v>190</v>
      </c>
      <c r="F1256" t="s">
        <v>191</v>
      </c>
      <c r="G1256" s="1">
        <v>43326</v>
      </c>
      <c r="H1256" s="1">
        <v>43325</v>
      </c>
      <c r="K1256" t="s">
        <v>6406</v>
      </c>
      <c r="L1256" t="s">
        <v>144</v>
      </c>
      <c r="M1256" t="s">
        <v>6407</v>
      </c>
      <c r="N1256">
        <v>577.67999999999995</v>
      </c>
      <c r="O1256" t="s">
        <v>6408</v>
      </c>
      <c r="P1256" t="s">
        <v>18</v>
      </c>
    </row>
    <row r="1257" spans="1:16" x14ac:dyDescent="0.35">
      <c r="A1257">
        <v>5455670</v>
      </c>
      <c r="B1257" t="s">
        <v>6409</v>
      </c>
      <c r="C1257" t="str">
        <f>"9781522559092"</f>
        <v>9781522559092</v>
      </c>
      <c r="D1257" t="str">
        <f>"9781522559108"</f>
        <v>9781522559108</v>
      </c>
      <c r="E1257" t="s">
        <v>138</v>
      </c>
      <c r="F1257" t="s">
        <v>1764</v>
      </c>
      <c r="G1257" s="1">
        <v>43322</v>
      </c>
      <c r="H1257" s="1">
        <v>43301</v>
      </c>
      <c r="K1257" t="s">
        <v>6410</v>
      </c>
      <c r="L1257" t="s">
        <v>229</v>
      </c>
      <c r="M1257" t="s">
        <v>6411</v>
      </c>
      <c r="N1257" t="s">
        <v>6412</v>
      </c>
      <c r="O1257" t="s">
        <v>6413</v>
      </c>
      <c r="P1257" t="s">
        <v>18</v>
      </c>
    </row>
    <row r="1258" spans="1:16" x14ac:dyDescent="0.35">
      <c r="A1258">
        <v>5530876</v>
      </c>
      <c r="B1258" t="s">
        <v>6414</v>
      </c>
      <c r="C1258" t="str">
        <f>""</f>
        <v/>
      </c>
      <c r="D1258" t="str">
        <f>"9781527517912"</f>
        <v>9781527517912</v>
      </c>
      <c r="E1258" t="s">
        <v>1662</v>
      </c>
      <c r="F1258" t="s">
        <v>1662</v>
      </c>
      <c r="G1258" s="1">
        <v>43321</v>
      </c>
      <c r="H1258" s="1">
        <v>43376</v>
      </c>
      <c r="K1258" t="s">
        <v>6415</v>
      </c>
      <c r="L1258" t="s">
        <v>41</v>
      </c>
      <c r="M1258" t="s">
        <v>6416</v>
      </c>
      <c r="N1258">
        <v>338.92700000000002</v>
      </c>
      <c r="O1258" t="s">
        <v>6417</v>
      </c>
      <c r="P1258" t="s">
        <v>18</v>
      </c>
    </row>
    <row r="1259" spans="1:16" x14ac:dyDescent="0.35">
      <c r="A1259">
        <v>5451238</v>
      </c>
      <c r="B1259" t="s">
        <v>6418</v>
      </c>
      <c r="C1259" t="str">
        <f>"9781522559870"</f>
        <v>9781522559870</v>
      </c>
      <c r="D1259" t="str">
        <f>"9781522559887"</f>
        <v>9781522559887</v>
      </c>
      <c r="E1259" t="s">
        <v>138</v>
      </c>
      <c r="F1259" t="s">
        <v>1764</v>
      </c>
      <c r="G1259" s="1">
        <v>43315</v>
      </c>
      <c r="H1259" s="1">
        <v>43294</v>
      </c>
      <c r="K1259" t="s">
        <v>6419</v>
      </c>
      <c r="L1259" t="s">
        <v>6420</v>
      </c>
      <c r="M1259" t="s">
        <v>6421</v>
      </c>
      <c r="N1259">
        <v>333.7</v>
      </c>
      <c r="O1259" t="s">
        <v>6422</v>
      </c>
      <c r="P1259" t="s">
        <v>18</v>
      </c>
    </row>
    <row r="1260" spans="1:16" x14ac:dyDescent="0.35">
      <c r="A1260">
        <v>5497786</v>
      </c>
      <c r="B1260" t="s">
        <v>6423</v>
      </c>
      <c r="C1260" t="str">
        <f>"9781536139495"</f>
        <v>9781536139495</v>
      </c>
      <c r="D1260" t="str">
        <f>"9781536139501"</f>
        <v>9781536139501</v>
      </c>
      <c r="E1260" t="s">
        <v>1689</v>
      </c>
      <c r="F1260" t="s">
        <v>1689</v>
      </c>
      <c r="G1260" s="1">
        <v>43312</v>
      </c>
      <c r="H1260" s="1">
        <v>43338</v>
      </c>
      <c r="I1260">
        <v>1</v>
      </c>
      <c r="J1260" t="s">
        <v>3033</v>
      </c>
      <c r="K1260" t="s">
        <v>6424</v>
      </c>
      <c r="L1260" t="s">
        <v>104</v>
      </c>
      <c r="M1260" t="s">
        <v>6425</v>
      </c>
      <c r="N1260">
        <v>628.1</v>
      </c>
      <c r="O1260" t="s">
        <v>4939</v>
      </c>
      <c r="P1260" t="s">
        <v>18</v>
      </c>
    </row>
    <row r="1261" spans="1:16" x14ac:dyDescent="0.35">
      <c r="A1261">
        <v>5446867</v>
      </c>
      <c r="B1261" t="s">
        <v>6426</v>
      </c>
      <c r="C1261" t="str">
        <f>"9781522552918"</f>
        <v>9781522552918</v>
      </c>
      <c r="D1261" t="str">
        <f>"9781522552925"</f>
        <v>9781522552925</v>
      </c>
      <c r="E1261" t="s">
        <v>138</v>
      </c>
      <c r="F1261" t="s">
        <v>1764</v>
      </c>
      <c r="G1261" s="1">
        <v>43308</v>
      </c>
      <c r="H1261" s="1">
        <v>43287</v>
      </c>
      <c r="K1261" t="s">
        <v>6427</v>
      </c>
      <c r="L1261" t="s">
        <v>31</v>
      </c>
      <c r="M1261" t="s">
        <v>6428</v>
      </c>
      <c r="N1261" t="s">
        <v>6429</v>
      </c>
      <c r="O1261" t="s">
        <v>6430</v>
      </c>
      <c r="P1261" t="s">
        <v>18</v>
      </c>
    </row>
    <row r="1262" spans="1:16" x14ac:dyDescent="0.35">
      <c r="A1262">
        <v>5429824</v>
      </c>
      <c r="B1262" t="s">
        <v>6431</v>
      </c>
      <c r="C1262" t="str">
        <f>"9781442277182"</f>
        <v>9781442277182</v>
      </c>
      <c r="D1262" t="str">
        <f>"9781442277199"</f>
        <v>9781442277199</v>
      </c>
      <c r="E1262" t="s">
        <v>443</v>
      </c>
      <c r="F1262" t="s">
        <v>443</v>
      </c>
      <c r="G1262" s="1">
        <v>43306</v>
      </c>
      <c r="H1262" s="1">
        <v>43267</v>
      </c>
      <c r="I1262">
        <v>2</v>
      </c>
      <c r="K1262" t="s">
        <v>6432</v>
      </c>
      <c r="L1262" t="s">
        <v>17</v>
      </c>
      <c r="M1262" t="s">
        <v>6433</v>
      </c>
      <c r="N1262">
        <v>917.3</v>
      </c>
      <c r="O1262" t="s">
        <v>6434</v>
      </c>
      <c r="P1262" t="s">
        <v>18</v>
      </c>
    </row>
    <row r="1263" spans="1:16" x14ac:dyDescent="0.35">
      <c r="A1263">
        <v>5472965</v>
      </c>
      <c r="B1263" t="s">
        <v>6435</v>
      </c>
      <c r="C1263" t="str">
        <f>"9780128137369"</f>
        <v>9780128137369</v>
      </c>
      <c r="D1263" t="str">
        <f>"9780128137376"</f>
        <v>9780128137376</v>
      </c>
      <c r="E1263" t="s">
        <v>1699</v>
      </c>
      <c r="F1263" t="s">
        <v>1699</v>
      </c>
      <c r="G1263" s="1">
        <v>43306</v>
      </c>
      <c r="H1263" s="1">
        <v>43341</v>
      </c>
      <c r="K1263" t="s">
        <v>6436</v>
      </c>
      <c r="L1263" t="s">
        <v>6437</v>
      </c>
      <c r="M1263" t="s">
        <v>6438</v>
      </c>
      <c r="N1263">
        <v>363.73939999999999</v>
      </c>
      <c r="O1263" t="s">
        <v>6439</v>
      </c>
      <c r="P1263" t="s">
        <v>18</v>
      </c>
    </row>
    <row r="1264" spans="1:16" x14ac:dyDescent="0.35">
      <c r="A1264">
        <v>5434340</v>
      </c>
      <c r="B1264" t="s">
        <v>6440</v>
      </c>
      <c r="C1264" t="str">
        <f>"9781522557548"</f>
        <v>9781522557548</v>
      </c>
      <c r="D1264" t="str">
        <f>"9781522557555"</f>
        <v>9781522557555</v>
      </c>
      <c r="E1264" t="s">
        <v>138</v>
      </c>
      <c r="F1264" t="s">
        <v>1764</v>
      </c>
      <c r="G1264" s="1">
        <v>43301</v>
      </c>
      <c r="H1264" s="1">
        <v>43274</v>
      </c>
      <c r="K1264" t="s">
        <v>6441</v>
      </c>
      <c r="L1264" t="s">
        <v>104</v>
      </c>
      <c r="M1264" t="s">
        <v>6442</v>
      </c>
      <c r="N1264">
        <v>628.29999999999995</v>
      </c>
      <c r="P1264" t="s">
        <v>18</v>
      </c>
    </row>
    <row r="1265" spans="1:16" x14ac:dyDescent="0.35">
      <c r="A1265">
        <v>5471099</v>
      </c>
      <c r="B1265" t="s">
        <v>6443</v>
      </c>
      <c r="C1265" t="str">
        <f>"9780128150405"</f>
        <v>9780128150405</v>
      </c>
      <c r="D1265" t="str">
        <f>"9780128150474"</f>
        <v>9780128150474</v>
      </c>
      <c r="E1265" t="s">
        <v>1699</v>
      </c>
      <c r="F1265" t="s">
        <v>1699</v>
      </c>
      <c r="G1265" s="1">
        <v>43300</v>
      </c>
      <c r="H1265" s="1">
        <v>43303</v>
      </c>
      <c r="I1265">
        <v>2</v>
      </c>
      <c r="K1265" t="s">
        <v>6444</v>
      </c>
      <c r="L1265" t="s">
        <v>275</v>
      </c>
      <c r="M1265" t="s">
        <v>6445</v>
      </c>
      <c r="N1265" t="s">
        <v>520</v>
      </c>
      <c r="O1265" t="s">
        <v>6446</v>
      </c>
      <c r="P1265" t="s">
        <v>18</v>
      </c>
    </row>
    <row r="1266" spans="1:16" x14ac:dyDescent="0.35">
      <c r="A1266">
        <v>5471101</v>
      </c>
      <c r="B1266" t="s">
        <v>6447</v>
      </c>
      <c r="C1266" t="str">
        <f>"9780128114773"</f>
        <v>9780128114773</v>
      </c>
      <c r="D1266" t="str">
        <f>"9780128114780"</f>
        <v>9780128114780</v>
      </c>
      <c r="E1266" t="s">
        <v>1699</v>
      </c>
      <c r="F1266" t="s">
        <v>1699</v>
      </c>
      <c r="G1266" s="1">
        <v>43300</v>
      </c>
      <c r="H1266" s="1">
        <v>43303</v>
      </c>
      <c r="K1266" t="s">
        <v>6448</v>
      </c>
      <c r="L1266" t="s">
        <v>38</v>
      </c>
      <c r="M1266" t="s">
        <v>6449</v>
      </c>
      <c r="N1266" t="s">
        <v>238</v>
      </c>
      <c r="O1266" t="s">
        <v>6450</v>
      </c>
      <c r="P1266" t="s">
        <v>18</v>
      </c>
    </row>
    <row r="1267" spans="1:16" x14ac:dyDescent="0.35">
      <c r="A1267">
        <v>5471199</v>
      </c>
      <c r="B1267" t="s">
        <v>6451</v>
      </c>
      <c r="C1267" t="str">
        <f>"9780128161555"</f>
        <v>9780128161555</v>
      </c>
      <c r="D1267" t="str">
        <f>"9780128161562"</f>
        <v>9780128161562</v>
      </c>
      <c r="E1267" t="s">
        <v>190</v>
      </c>
      <c r="F1267" t="s">
        <v>191</v>
      </c>
      <c r="G1267" s="1">
        <v>43300</v>
      </c>
      <c r="H1267" s="1">
        <v>43304</v>
      </c>
      <c r="K1267" t="s">
        <v>6452</v>
      </c>
      <c r="L1267" t="s">
        <v>6453</v>
      </c>
      <c r="M1267" t="s">
        <v>6454</v>
      </c>
      <c r="N1267">
        <v>363.17919999999998</v>
      </c>
      <c r="O1267" t="s">
        <v>6455</v>
      </c>
      <c r="P1267" t="s">
        <v>18</v>
      </c>
    </row>
    <row r="1268" spans="1:16" x14ac:dyDescent="0.35">
      <c r="A1268">
        <v>5651680</v>
      </c>
      <c r="B1268" t="s">
        <v>6456</v>
      </c>
      <c r="C1268" t="str">
        <f>""</f>
        <v/>
      </c>
      <c r="D1268" t="str">
        <f>"9781527526600"</f>
        <v>9781527526600</v>
      </c>
      <c r="E1268" t="s">
        <v>1662</v>
      </c>
      <c r="F1268" t="s">
        <v>1662</v>
      </c>
      <c r="G1268" s="1">
        <v>43297</v>
      </c>
      <c r="H1268" s="1">
        <v>43495</v>
      </c>
      <c r="K1268" t="s">
        <v>6457</v>
      </c>
      <c r="L1268" t="s">
        <v>6458</v>
      </c>
      <c r="M1268" t="s">
        <v>6459</v>
      </c>
      <c r="N1268">
        <v>338.1</v>
      </c>
      <c r="O1268" t="s">
        <v>6460</v>
      </c>
      <c r="P1268" t="s">
        <v>18</v>
      </c>
    </row>
    <row r="1269" spans="1:16" x14ac:dyDescent="0.35">
      <c r="A1269">
        <v>5620806</v>
      </c>
      <c r="B1269" t="s">
        <v>6461</v>
      </c>
      <c r="C1269" t="str">
        <f>"9783631756171"</f>
        <v>9783631756171</v>
      </c>
      <c r="D1269" t="str">
        <f>"9783631756379"</f>
        <v>9783631756379</v>
      </c>
      <c r="E1269" t="s">
        <v>2432</v>
      </c>
      <c r="F1269" t="s">
        <v>2432</v>
      </c>
      <c r="G1269" s="1">
        <v>43294</v>
      </c>
      <c r="H1269" s="1">
        <v>43453</v>
      </c>
      <c r="I1269">
        <v>1</v>
      </c>
      <c r="J1269" t="s">
        <v>6462</v>
      </c>
      <c r="K1269" t="s">
        <v>6463</v>
      </c>
      <c r="L1269" t="s">
        <v>24</v>
      </c>
      <c r="M1269" t="s">
        <v>6464</v>
      </c>
      <c r="N1269">
        <v>853.91399999999999</v>
      </c>
      <c r="O1269" t="s">
        <v>6465</v>
      </c>
      <c r="P1269" t="s">
        <v>18</v>
      </c>
    </row>
    <row r="1270" spans="1:16" x14ac:dyDescent="0.35">
      <c r="A1270">
        <v>5597624</v>
      </c>
      <c r="B1270" t="s">
        <v>6466</v>
      </c>
      <c r="C1270" t="str">
        <f>"9789004381353"</f>
        <v>9789004381353</v>
      </c>
      <c r="D1270" t="str">
        <f>"9789004381360"</f>
        <v>9789004381360</v>
      </c>
      <c r="E1270" t="s">
        <v>228</v>
      </c>
      <c r="F1270" t="s">
        <v>228</v>
      </c>
      <c r="G1270" s="1">
        <v>43293</v>
      </c>
      <c r="H1270" s="1">
        <v>43420</v>
      </c>
      <c r="I1270">
        <v>1</v>
      </c>
      <c r="J1270" t="s">
        <v>6467</v>
      </c>
      <c r="K1270" t="s">
        <v>6468</v>
      </c>
      <c r="L1270" t="s">
        <v>135</v>
      </c>
      <c r="M1270" t="s">
        <v>6469</v>
      </c>
      <c r="N1270">
        <v>304.2</v>
      </c>
      <c r="O1270" t="s">
        <v>6470</v>
      </c>
      <c r="P1270" t="s">
        <v>18</v>
      </c>
    </row>
    <row r="1271" spans="1:16" x14ac:dyDescent="0.35">
      <c r="A1271">
        <v>5488773</v>
      </c>
      <c r="B1271" t="s">
        <v>6471</v>
      </c>
      <c r="C1271" t="str">
        <f>"9781536135794"</f>
        <v>9781536135794</v>
      </c>
      <c r="D1271" t="str">
        <f>"9781536135800"</f>
        <v>9781536135800</v>
      </c>
      <c r="E1271" t="s">
        <v>1689</v>
      </c>
      <c r="F1271" t="s">
        <v>1689</v>
      </c>
      <c r="G1271" s="1">
        <v>43291</v>
      </c>
      <c r="H1271" s="1">
        <v>43321</v>
      </c>
      <c r="I1271">
        <v>1</v>
      </c>
      <c r="J1271" t="s">
        <v>2789</v>
      </c>
      <c r="K1271" t="s">
        <v>6472</v>
      </c>
      <c r="L1271" t="s">
        <v>113</v>
      </c>
      <c r="M1271" t="s">
        <v>6473</v>
      </c>
      <c r="N1271">
        <v>628.29999999999995</v>
      </c>
      <c r="O1271" t="s">
        <v>6474</v>
      </c>
      <c r="P1271" t="s">
        <v>18</v>
      </c>
    </row>
    <row r="1272" spans="1:16" x14ac:dyDescent="0.35">
      <c r="A1272">
        <v>5451247</v>
      </c>
      <c r="B1272" t="s">
        <v>6475</v>
      </c>
      <c r="C1272" t="str">
        <f>"9780128150771"</f>
        <v>9780128150771</v>
      </c>
      <c r="D1272" t="str">
        <f>"9780128150788"</f>
        <v>9780128150788</v>
      </c>
      <c r="E1272" t="s">
        <v>190</v>
      </c>
      <c r="F1272" t="s">
        <v>191</v>
      </c>
      <c r="G1272" s="1">
        <v>43290</v>
      </c>
      <c r="H1272" s="1">
        <v>43294</v>
      </c>
      <c r="J1272" t="s">
        <v>291</v>
      </c>
      <c r="K1272" t="s">
        <v>6476</v>
      </c>
      <c r="L1272" t="s">
        <v>176</v>
      </c>
      <c r="M1272" t="s">
        <v>6477</v>
      </c>
      <c r="N1272">
        <v>541.37</v>
      </c>
      <c r="O1272" t="s">
        <v>6478</v>
      </c>
      <c r="P1272" t="s">
        <v>18</v>
      </c>
    </row>
    <row r="1273" spans="1:16" x14ac:dyDescent="0.35">
      <c r="A1273">
        <v>5413625</v>
      </c>
      <c r="B1273" t="s">
        <v>6479</v>
      </c>
      <c r="C1273" t="str">
        <f>"9781522541837"</f>
        <v>9781522541837</v>
      </c>
      <c r="D1273" t="str">
        <f>"9781522541844"</f>
        <v>9781522541844</v>
      </c>
      <c r="E1273" t="s">
        <v>138</v>
      </c>
      <c r="F1273" t="s">
        <v>1789</v>
      </c>
      <c r="G1273" s="1">
        <v>43287</v>
      </c>
      <c r="H1273" s="1">
        <v>43259</v>
      </c>
      <c r="K1273" t="s">
        <v>6480</v>
      </c>
      <c r="L1273" t="s">
        <v>257</v>
      </c>
      <c r="M1273" t="s">
        <v>6481</v>
      </c>
      <c r="N1273">
        <v>304.2</v>
      </c>
      <c r="O1273" t="s">
        <v>6482</v>
      </c>
      <c r="P1273" t="s">
        <v>18</v>
      </c>
    </row>
    <row r="1274" spans="1:16" x14ac:dyDescent="0.35">
      <c r="A1274">
        <v>5435373</v>
      </c>
      <c r="B1274" t="s">
        <v>6483</v>
      </c>
      <c r="C1274" t="str">
        <f>"9780128125816"</f>
        <v>9780128125816</v>
      </c>
      <c r="D1274" t="str">
        <f>"9780128125823"</f>
        <v>9780128125823</v>
      </c>
      <c r="E1274" t="s">
        <v>190</v>
      </c>
      <c r="F1274" t="s">
        <v>282</v>
      </c>
      <c r="G1274" s="1">
        <v>43286</v>
      </c>
      <c r="H1274" s="1">
        <v>43277</v>
      </c>
      <c r="K1274" t="s">
        <v>6484</v>
      </c>
      <c r="L1274" t="s">
        <v>6485</v>
      </c>
      <c r="M1274" t="s">
        <v>6486</v>
      </c>
      <c r="N1274">
        <v>387.74040000000002</v>
      </c>
      <c r="O1274" t="s">
        <v>6487</v>
      </c>
      <c r="P1274" t="s">
        <v>18</v>
      </c>
    </row>
    <row r="1275" spans="1:16" x14ac:dyDescent="0.35">
      <c r="A1275">
        <v>5639146</v>
      </c>
      <c r="B1275" t="s">
        <v>6488</v>
      </c>
      <c r="C1275" t="str">
        <f>""</f>
        <v/>
      </c>
      <c r="D1275" t="str">
        <f>"9781527526082"</f>
        <v>9781527526082</v>
      </c>
      <c r="E1275" t="s">
        <v>1662</v>
      </c>
      <c r="F1275" t="s">
        <v>1662</v>
      </c>
      <c r="G1275" s="1">
        <v>43285</v>
      </c>
      <c r="H1275" s="1">
        <v>43485</v>
      </c>
      <c r="K1275" t="s">
        <v>6489</v>
      </c>
      <c r="L1275" t="s">
        <v>4575</v>
      </c>
      <c r="M1275" t="s">
        <v>6490</v>
      </c>
      <c r="N1275">
        <v>333.91009539999999</v>
      </c>
      <c r="O1275" t="s">
        <v>6491</v>
      </c>
      <c r="P1275" t="s">
        <v>18</v>
      </c>
    </row>
    <row r="1276" spans="1:16" x14ac:dyDescent="0.35">
      <c r="A1276">
        <v>5401083</v>
      </c>
      <c r="B1276" t="s">
        <v>6492</v>
      </c>
      <c r="C1276" t="str">
        <f>""</f>
        <v/>
      </c>
      <c r="D1276" t="str">
        <f>"9781522545521"</f>
        <v>9781522545521</v>
      </c>
      <c r="E1276" t="s">
        <v>138</v>
      </c>
      <c r="F1276" t="s">
        <v>138</v>
      </c>
      <c r="G1276" s="1">
        <v>43282</v>
      </c>
      <c r="H1276" s="1">
        <v>43247</v>
      </c>
      <c r="K1276" t="s">
        <v>2410</v>
      </c>
      <c r="L1276" t="s">
        <v>38</v>
      </c>
      <c r="M1276" t="s">
        <v>6257</v>
      </c>
      <c r="N1276">
        <v>304.2</v>
      </c>
      <c r="O1276" t="s">
        <v>6493</v>
      </c>
      <c r="P1276" t="s">
        <v>18</v>
      </c>
    </row>
    <row r="1277" spans="1:16" x14ac:dyDescent="0.35">
      <c r="A1277">
        <v>5435836</v>
      </c>
      <c r="B1277" t="s">
        <v>6494</v>
      </c>
      <c r="C1277" t="str">
        <f>""</f>
        <v/>
      </c>
      <c r="D1277" t="str">
        <f>"9781522546658"</f>
        <v>9781522546658</v>
      </c>
      <c r="E1277" t="s">
        <v>138</v>
      </c>
      <c r="F1277" t="s">
        <v>138</v>
      </c>
      <c r="G1277" s="1">
        <v>43282</v>
      </c>
      <c r="H1277" s="1">
        <v>43278</v>
      </c>
      <c r="K1277" t="s">
        <v>3292</v>
      </c>
      <c r="L1277" t="s">
        <v>41</v>
      </c>
      <c r="M1277" t="s">
        <v>6259</v>
      </c>
      <c r="N1277">
        <v>338.92700000000002</v>
      </c>
      <c r="O1277" t="s">
        <v>5830</v>
      </c>
      <c r="P1277" t="s">
        <v>18</v>
      </c>
    </row>
    <row r="1278" spans="1:16" x14ac:dyDescent="0.35">
      <c r="A1278">
        <v>5615345</v>
      </c>
      <c r="B1278" t="s">
        <v>6495</v>
      </c>
      <c r="C1278" t="str">
        <f>""</f>
        <v/>
      </c>
      <c r="D1278" t="str">
        <f>"9781522547204"</f>
        <v>9781522547204</v>
      </c>
      <c r="E1278" t="s">
        <v>138</v>
      </c>
      <c r="F1278" t="s">
        <v>138</v>
      </c>
      <c r="G1278" s="1">
        <v>43282</v>
      </c>
      <c r="H1278" s="1">
        <v>43491</v>
      </c>
      <c r="K1278" t="s">
        <v>4898</v>
      </c>
      <c r="L1278" t="s">
        <v>28</v>
      </c>
      <c r="M1278" t="s">
        <v>6496</v>
      </c>
      <c r="N1278">
        <v>658.40800000000002</v>
      </c>
      <c r="O1278" t="s">
        <v>6497</v>
      </c>
      <c r="P1278" t="s">
        <v>18</v>
      </c>
    </row>
    <row r="1279" spans="1:16" x14ac:dyDescent="0.35">
      <c r="A1279">
        <v>5430226</v>
      </c>
      <c r="B1279" t="s">
        <v>6498</v>
      </c>
      <c r="C1279" t="str">
        <f>"9781786430021"</f>
        <v>9781786430021</v>
      </c>
      <c r="D1279" t="str">
        <f>"9781786430038"</f>
        <v>9781786430038</v>
      </c>
      <c r="E1279" t="s">
        <v>2080</v>
      </c>
      <c r="F1279" t="s">
        <v>2080</v>
      </c>
      <c r="G1279" s="1">
        <v>43280</v>
      </c>
      <c r="H1279" s="1">
        <v>43267</v>
      </c>
      <c r="J1279" t="s">
        <v>3803</v>
      </c>
      <c r="K1279" t="s">
        <v>6499</v>
      </c>
      <c r="L1279" t="s">
        <v>23</v>
      </c>
      <c r="N1279">
        <v>344.04634199999998</v>
      </c>
      <c r="P1279" t="s">
        <v>18</v>
      </c>
    </row>
    <row r="1280" spans="1:16" x14ac:dyDescent="0.35">
      <c r="A1280">
        <v>5430237</v>
      </c>
      <c r="B1280" t="s">
        <v>6500</v>
      </c>
      <c r="C1280" t="str">
        <f>"9781786432827"</f>
        <v>9781786432827</v>
      </c>
      <c r="D1280" t="str">
        <f>"9781786432834"</f>
        <v>9781786432834</v>
      </c>
      <c r="E1280" t="s">
        <v>2080</v>
      </c>
      <c r="F1280" t="s">
        <v>2080</v>
      </c>
      <c r="G1280" s="1">
        <v>43280</v>
      </c>
      <c r="H1280" s="1">
        <v>43267</v>
      </c>
      <c r="J1280" t="s">
        <v>2081</v>
      </c>
      <c r="K1280" t="s">
        <v>6501</v>
      </c>
      <c r="L1280" t="s">
        <v>53</v>
      </c>
      <c r="M1280" t="s">
        <v>6502</v>
      </c>
      <c r="N1280">
        <v>658.40830000000005</v>
      </c>
      <c r="P1280" t="s">
        <v>18</v>
      </c>
    </row>
    <row r="1281" spans="1:16" x14ac:dyDescent="0.35">
      <c r="A1281">
        <v>5430242</v>
      </c>
      <c r="B1281" t="s">
        <v>6503</v>
      </c>
      <c r="C1281" t="str">
        <f>"9781786438751"</f>
        <v>9781786438751</v>
      </c>
      <c r="D1281" t="str">
        <f>"9781786438768"</f>
        <v>9781786438768</v>
      </c>
      <c r="E1281" t="s">
        <v>2080</v>
      </c>
      <c r="F1281" t="s">
        <v>2080</v>
      </c>
      <c r="G1281" s="1">
        <v>43280</v>
      </c>
      <c r="H1281" s="1">
        <v>43267</v>
      </c>
      <c r="K1281" t="s">
        <v>6504</v>
      </c>
      <c r="L1281" t="s">
        <v>23</v>
      </c>
      <c r="N1281">
        <v>344.04599999999999</v>
      </c>
      <c r="P1281" t="s">
        <v>18</v>
      </c>
    </row>
    <row r="1282" spans="1:16" x14ac:dyDescent="0.35">
      <c r="A1282">
        <v>5400917</v>
      </c>
      <c r="B1282" t="s">
        <v>6505</v>
      </c>
      <c r="C1282" t="str">
        <f>"9781474283960"</f>
        <v>9781474283960</v>
      </c>
      <c r="D1282" t="str">
        <f>"9781474283991"</f>
        <v>9781474283991</v>
      </c>
      <c r="E1282" t="s">
        <v>354</v>
      </c>
      <c r="F1282" t="s">
        <v>541</v>
      </c>
      <c r="G1282" s="1">
        <v>43279</v>
      </c>
      <c r="H1282" s="1">
        <v>43246</v>
      </c>
      <c r="J1282" t="s">
        <v>6506</v>
      </c>
      <c r="K1282" t="s">
        <v>6507</v>
      </c>
      <c r="L1282" t="s">
        <v>27</v>
      </c>
      <c r="M1282" t="s">
        <v>6508</v>
      </c>
      <c r="N1282">
        <v>792.02508999999998</v>
      </c>
      <c r="O1282" t="s">
        <v>6509</v>
      </c>
      <c r="P1282" t="s">
        <v>18</v>
      </c>
    </row>
    <row r="1283" spans="1:16" x14ac:dyDescent="0.35">
      <c r="A1283">
        <v>5446872</v>
      </c>
      <c r="B1283" t="s">
        <v>6510</v>
      </c>
      <c r="C1283" t="str">
        <f>"9781522539964"</f>
        <v>9781522539964</v>
      </c>
      <c r="D1283" t="str">
        <f>"9781522539971"</f>
        <v>9781522539971</v>
      </c>
      <c r="E1283" t="s">
        <v>138</v>
      </c>
      <c r="F1283" t="s">
        <v>1764</v>
      </c>
      <c r="G1283" s="1">
        <v>43278</v>
      </c>
      <c r="H1283" s="1">
        <v>43287</v>
      </c>
      <c r="K1283" t="s">
        <v>6511</v>
      </c>
      <c r="L1283" t="s">
        <v>141</v>
      </c>
      <c r="M1283" t="s">
        <v>6512</v>
      </c>
      <c r="N1283" t="s">
        <v>6513</v>
      </c>
      <c r="O1283" t="s">
        <v>6514</v>
      </c>
      <c r="P1283" t="s">
        <v>18</v>
      </c>
    </row>
    <row r="1284" spans="1:16" x14ac:dyDescent="0.35">
      <c r="A1284">
        <v>5401159</v>
      </c>
      <c r="B1284" t="s">
        <v>6515</v>
      </c>
      <c r="C1284" t="str">
        <f>"9780749480479"</f>
        <v>9780749480479</v>
      </c>
      <c r="D1284" t="str">
        <f>"9780749480486"</f>
        <v>9780749480486</v>
      </c>
      <c r="E1284" t="s">
        <v>215</v>
      </c>
      <c r="F1284" t="s">
        <v>215</v>
      </c>
      <c r="G1284" s="1">
        <v>43277</v>
      </c>
      <c r="H1284" s="1">
        <v>43247</v>
      </c>
      <c r="I1284">
        <v>1</v>
      </c>
      <c r="K1284" t="s">
        <v>6516</v>
      </c>
      <c r="L1284" t="s">
        <v>53</v>
      </c>
      <c r="M1284" t="s">
        <v>6517</v>
      </c>
      <c r="N1284" t="s">
        <v>417</v>
      </c>
      <c r="O1284" t="s">
        <v>6518</v>
      </c>
      <c r="P1284" t="s">
        <v>18</v>
      </c>
    </row>
    <row r="1285" spans="1:16" x14ac:dyDescent="0.35">
      <c r="A1285">
        <v>5405484</v>
      </c>
      <c r="B1285" t="s">
        <v>6519</v>
      </c>
      <c r="C1285" t="str">
        <f>"9781522556732"</f>
        <v>9781522556732</v>
      </c>
      <c r="D1285" t="str">
        <f>"9781522556749"</f>
        <v>9781522556749</v>
      </c>
      <c r="E1285" t="s">
        <v>138</v>
      </c>
      <c r="F1285" t="s">
        <v>1789</v>
      </c>
      <c r="G1285" s="1">
        <v>43273</v>
      </c>
      <c r="H1285" s="1">
        <v>43252</v>
      </c>
      <c r="K1285" t="s">
        <v>6520</v>
      </c>
      <c r="L1285" t="s">
        <v>30</v>
      </c>
      <c r="M1285" t="s">
        <v>6521</v>
      </c>
      <c r="N1285">
        <v>371.3</v>
      </c>
      <c r="O1285" t="s">
        <v>6522</v>
      </c>
      <c r="P1285" t="s">
        <v>18</v>
      </c>
    </row>
    <row r="1286" spans="1:16" x14ac:dyDescent="0.35">
      <c r="A1286">
        <v>5419695</v>
      </c>
      <c r="B1286" t="s">
        <v>6523</v>
      </c>
      <c r="C1286" t="str">
        <f>"9780081021569"</f>
        <v>9780081021569</v>
      </c>
      <c r="D1286" t="str">
        <f>"9780081021576"</f>
        <v>9780081021576</v>
      </c>
      <c r="E1286" t="s">
        <v>190</v>
      </c>
      <c r="F1286" t="s">
        <v>280</v>
      </c>
      <c r="G1286" s="1">
        <v>43273</v>
      </c>
      <c r="H1286" s="1">
        <v>43261</v>
      </c>
      <c r="J1286" t="s">
        <v>487</v>
      </c>
      <c r="K1286" t="s">
        <v>6524</v>
      </c>
      <c r="L1286" t="s">
        <v>81</v>
      </c>
      <c r="M1286" t="s">
        <v>6525</v>
      </c>
      <c r="N1286">
        <v>624.18340000000001</v>
      </c>
      <c r="O1286" t="s">
        <v>6526</v>
      </c>
      <c r="P1286" t="s">
        <v>18</v>
      </c>
    </row>
    <row r="1287" spans="1:16" x14ac:dyDescent="0.35">
      <c r="A1287">
        <v>5447802</v>
      </c>
      <c r="B1287" t="s">
        <v>6527</v>
      </c>
      <c r="C1287" t="str">
        <f>"9780128144473"</f>
        <v>9780128144473</v>
      </c>
      <c r="D1287" t="str">
        <f>"9780128144480"</f>
        <v>9780128144480</v>
      </c>
      <c r="E1287" t="s">
        <v>190</v>
      </c>
      <c r="F1287" t="s">
        <v>191</v>
      </c>
      <c r="G1287" s="1">
        <v>43272</v>
      </c>
      <c r="H1287" s="1">
        <v>43288</v>
      </c>
      <c r="K1287" t="s">
        <v>6528</v>
      </c>
      <c r="L1287" t="s">
        <v>6529</v>
      </c>
      <c r="M1287" t="s">
        <v>6530</v>
      </c>
      <c r="N1287">
        <v>363.73874028500001</v>
      </c>
      <c r="O1287" t="s">
        <v>6531</v>
      </c>
      <c r="P1287" t="s">
        <v>18</v>
      </c>
    </row>
    <row r="1288" spans="1:16" x14ac:dyDescent="0.35">
      <c r="A1288">
        <v>5433844</v>
      </c>
      <c r="B1288" t="s">
        <v>6532</v>
      </c>
      <c r="C1288" t="str">
        <f>"9780128147849"</f>
        <v>9780128147849</v>
      </c>
      <c r="D1288" t="str">
        <f>"9780128147856"</f>
        <v>9780128147856</v>
      </c>
      <c r="E1288" t="s">
        <v>1699</v>
      </c>
      <c r="F1288" t="s">
        <v>1699</v>
      </c>
      <c r="G1288" s="1">
        <v>43271</v>
      </c>
      <c r="H1288" s="1">
        <v>43273</v>
      </c>
      <c r="K1288" t="s">
        <v>6533</v>
      </c>
      <c r="L1288" t="s">
        <v>28</v>
      </c>
      <c r="M1288" t="s">
        <v>6534</v>
      </c>
      <c r="N1288">
        <v>388.46</v>
      </c>
      <c r="P1288" t="s">
        <v>18</v>
      </c>
    </row>
    <row r="1289" spans="1:16" x14ac:dyDescent="0.35">
      <c r="A1289">
        <v>5430783</v>
      </c>
      <c r="B1289" t="s">
        <v>6535</v>
      </c>
      <c r="C1289" t="str">
        <f>"9780128144152"</f>
        <v>9780128144152</v>
      </c>
      <c r="D1289" t="str">
        <f>"9780128144169"</f>
        <v>9780128144169</v>
      </c>
      <c r="E1289" t="s">
        <v>190</v>
      </c>
      <c r="F1289" t="s">
        <v>191</v>
      </c>
      <c r="G1289" s="1">
        <v>43270</v>
      </c>
      <c r="H1289" s="1">
        <v>43268</v>
      </c>
      <c r="J1289" t="s">
        <v>291</v>
      </c>
      <c r="K1289" t="s">
        <v>6536</v>
      </c>
      <c r="L1289" t="s">
        <v>240</v>
      </c>
      <c r="M1289" t="s">
        <v>6537</v>
      </c>
      <c r="N1289">
        <v>616.98</v>
      </c>
      <c r="O1289" t="s">
        <v>6538</v>
      </c>
      <c r="P1289" t="s">
        <v>18</v>
      </c>
    </row>
    <row r="1290" spans="1:16" x14ac:dyDescent="0.35">
      <c r="A1290">
        <v>5448427</v>
      </c>
      <c r="B1290" t="s">
        <v>6539</v>
      </c>
      <c r="C1290" t="str">
        <f>"9781786344861"</f>
        <v>9781786344861</v>
      </c>
      <c r="D1290" t="str">
        <f>"9781786344878"</f>
        <v>9781786344878</v>
      </c>
      <c r="E1290" t="s">
        <v>184</v>
      </c>
      <c r="F1290" t="s">
        <v>2401</v>
      </c>
      <c r="G1290" s="1">
        <v>43270</v>
      </c>
      <c r="H1290" s="1">
        <v>43290</v>
      </c>
      <c r="J1290" t="s">
        <v>4118</v>
      </c>
      <c r="K1290" t="s">
        <v>6540</v>
      </c>
      <c r="L1290" t="s">
        <v>118</v>
      </c>
      <c r="M1290" t="s">
        <v>6541</v>
      </c>
      <c r="N1290" t="s">
        <v>434</v>
      </c>
      <c r="O1290" t="s">
        <v>6542</v>
      </c>
      <c r="P1290" t="s">
        <v>18</v>
      </c>
    </row>
    <row r="1291" spans="1:16" x14ac:dyDescent="0.35">
      <c r="A1291">
        <v>5399828</v>
      </c>
      <c r="B1291" t="s">
        <v>6543</v>
      </c>
      <c r="C1291" t="str">
        <f>"9781522552673"</f>
        <v>9781522552673</v>
      </c>
      <c r="D1291" t="str">
        <f>"9781522552680"</f>
        <v>9781522552680</v>
      </c>
      <c r="E1291" t="s">
        <v>138</v>
      </c>
      <c r="F1291" t="s">
        <v>1769</v>
      </c>
      <c r="G1291" s="1">
        <v>43266</v>
      </c>
      <c r="H1291" s="1">
        <v>43245</v>
      </c>
      <c r="K1291" t="s">
        <v>6544</v>
      </c>
      <c r="L1291" t="s">
        <v>28</v>
      </c>
      <c r="M1291" t="s">
        <v>6545</v>
      </c>
      <c r="N1291" t="s">
        <v>6546</v>
      </c>
      <c r="O1291" t="s">
        <v>6547</v>
      </c>
      <c r="P1291" t="s">
        <v>18</v>
      </c>
    </row>
    <row r="1292" spans="1:16" x14ac:dyDescent="0.35">
      <c r="A1292">
        <v>5399833</v>
      </c>
      <c r="B1292" t="s">
        <v>6548</v>
      </c>
      <c r="C1292" t="str">
        <f>"9781522552130"</f>
        <v>9781522552130</v>
      </c>
      <c r="D1292" t="str">
        <f>"9781522552147"</f>
        <v>9781522552147</v>
      </c>
      <c r="E1292" t="s">
        <v>138</v>
      </c>
      <c r="F1292" t="s">
        <v>1769</v>
      </c>
      <c r="G1292" s="1">
        <v>43266</v>
      </c>
      <c r="H1292" s="1">
        <v>43245</v>
      </c>
      <c r="K1292" t="s">
        <v>6549</v>
      </c>
      <c r="L1292" t="s">
        <v>26</v>
      </c>
      <c r="M1292" t="s">
        <v>6550</v>
      </c>
      <c r="N1292">
        <v>332</v>
      </c>
      <c r="O1292" t="s">
        <v>6551</v>
      </c>
      <c r="P1292" t="s">
        <v>18</v>
      </c>
    </row>
    <row r="1293" spans="1:16" x14ac:dyDescent="0.35">
      <c r="A1293">
        <v>5430247</v>
      </c>
      <c r="B1293" t="s">
        <v>6552</v>
      </c>
      <c r="C1293" t="str">
        <f>"9780128121641"</f>
        <v>9780128121641</v>
      </c>
      <c r="D1293" t="str">
        <f>"9780128122419"</f>
        <v>9780128122419</v>
      </c>
      <c r="E1293" t="s">
        <v>1699</v>
      </c>
      <c r="F1293" t="s">
        <v>1699</v>
      </c>
      <c r="G1293" s="1">
        <v>43264</v>
      </c>
      <c r="H1293" s="1">
        <v>43267</v>
      </c>
      <c r="K1293" t="s">
        <v>6553</v>
      </c>
      <c r="L1293" t="s">
        <v>3625</v>
      </c>
      <c r="M1293" t="s">
        <v>6554</v>
      </c>
      <c r="N1293">
        <v>363.73874095399998</v>
      </c>
      <c r="O1293" t="s">
        <v>6555</v>
      </c>
      <c r="P1293" t="s">
        <v>18</v>
      </c>
    </row>
    <row r="1294" spans="1:16" x14ac:dyDescent="0.35">
      <c r="A1294">
        <v>5419756</v>
      </c>
      <c r="B1294" t="s">
        <v>6556</v>
      </c>
      <c r="C1294" t="str">
        <f>"9780128154830"</f>
        <v>9780128154830</v>
      </c>
      <c r="D1294" t="str">
        <f>"9780128154847"</f>
        <v>9780128154847</v>
      </c>
      <c r="E1294" t="s">
        <v>190</v>
      </c>
      <c r="F1294" t="s">
        <v>282</v>
      </c>
      <c r="G1294" s="1">
        <v>43263</v>
      </c>
      <c r="H1294" s="1">
        <v>43262</v>
      </c>
      <c r="K1294" t="s">
        <v>6557</v>
      </c>
      <c r="L1294" t="s">
        <v>6558</v>
      </c>
      <c r="M1294" t="s">
        <v>6559</v>
      </c>
      <c r="N1294">
        <v>690.02859999999998</v>
      </c>
      <c r="O1294" t="s">
        <v>6560</v>
      </c>
      <c r="P1294" t="s">
        <v>18</v>
      </c>
    </row>
    <row r="1295" spans="1:16" x14ac:dyDescent="0.35">
      <c r="A1295">
        <v>5394825</v>
      </c>
      <c r="B1295" t="s">
        <v>6561</v>
      </c>
      <c r="C1295" t="str">
        <f>"9781522539902"</f>
        <v>9781522539902</v>
      </c>
      <c r="D1295" t="str">
        <f>"9781522539919"</f>
        <v>9781522539919</v>
      </c>
      <c r="E1295" t="s">
        <v>138</v>
      </c>
      <c r="F1295" t="s">
        <v>1764</v>
      </c>
      <c r="G1295" s="1">
        <v>43259</v>
      </c>
      <c r="H1295" s="1">
        <v>43238</v>
      </c>
      <c r="K1295" t="s">
        <v>6562</v>
      </c>
      <c r="L1295" t="s">
        <v>26</v>
      </c>
      <c r="M1295" t="s">
        <v>6563</v>
      </c>
      <c r="N1295" t="s">
        <v>128</v>
      </c>
      <c r="O1295" t="s">
        <v>6564</v>
      </c>
      <c r="P1295" t="s">
        <v>18</v>
      </c>
    </row>
    <row r="1296" spans="1:16" x14ac:dyDescent="0.35">
      <c r="A1296">
        <v>5394896</v>
      </c>
      <c r="B1296" t="s">
        <v>6565</v>
      </c>
      <c r="C1296" t="str">
        <f>"9781522557722"</f>
        <v>9781522557722</v>
      </c>
      <c r="D1296" t="str">
        <f>"9781522557739"</f>
        <v>9781522557739</v>
      </c>
      <c r="E1296" t="s">
        <v>138</v>
      </c>
      <c r="F1296" t="s">
        <v>1769</v>
      </c>
      <c r="G1296" s="1">
        <v>43259</v>
      </c>
      <c r="H1296" s="1">
        <v>43238</v>
      </c>
      <c r="K1296" t="s">
        <v>6566</v>
      </c>
      <c r="L1296" t="s">
        <v>271</v>
      </c>
      <c r="M1296" t="s">
        <v>6567</v>
      </c>
      <c r="N1296">
        <v>910.68399999999997</v>
      </c>
      <c r="O1296" t="s">
        <v>6568</v>
      </c>
      <c r="P1296" t="s">
        <v>18</v>
      </c>
    </row>
    <row r="1297" spans="1:16" x14ac:dyDescent="0.35">
      <c r="A1297">
        <v>5407380</v>
      </c>
      <c r="B1297" t="s">
        <v>6569</v>
      </c>
      <c r="C1297" t="str">
        <f>"9780128126325"</f>
        <v>9780128126325</v>
      </c>
      <c r="D1297" t="str">
        <f>"9780128126356"</f>
        <v>9780128126356</v>
      </c>
      <c r="E1297" t="s">
        <v>190</v>
      </c>
      <c r="F1297" t="s">
        <v>280</v>
      </c>
      <c r="G1297" s="1">
        <v>43253</v>
      </c>
      <c r="H1297" s="1">
        <v>43255</v>
      </c>
      <c r="K1297" t="s">
        <v>6570</v>
      </c>
      <c r="L1297" t="s">
        <v>3488</v>
      </c>
      <c r="M1297" t="s">
        <v>6571</v>
      </c>
      <c r="N1297">
        <v>662.62300000000005</v>
      </c>
      <c r="O1297" t="s">
        <v>6572</v>
      </c>
      <c r="P1297" t="s">
        <v>18</v>
      </c>
    </row>
    <row r="1298" spans="1:16" x14ac:dyDescent="0.35">
      <c r="A1298">
        <v>5450560</v>
      </c>
      <c r="B1298" t="s">
        <v>6573</v>
      </c>
      <c r="C1298" t="str">
        <f>"9781475843071"</f>
        <v>9781475843071</v>
      </c>
      <c r="D1298" t="str">
        <f>"9781475843088"</f>
        <v>9781475843088</v>
      </c>
      <c r="E1298" t="s">
        <v>443</v>
      </c>
      <c r="F1298" t="s">
        <v>443</v>
      </c>
      <c r="G1298" s="1">
        <v>43252</v>
      </c>
      <c r="H1298" s="1">
        <v>43294</v>
      </c>
      <c r="K1298" t="s">
        <v>2913</v>
      </c>
      <c r="L1298" t="s">
        <v>30</v>
      </c>
      <c r="M1298" t="s">
        <v>6574</v>
      </c>
      <c r="N1298" t="s">
        <v>239</v>
      </c>
      <c r="O1298" t="s">
        <v>6575</v>
      </c>
      <c r="P1298" t="s">
        <v>18</v>
      </c>
    </row>
    <row r="1299" spans="1:16" x14ac:dyDescent="0.35">
      <c r="A1299">
        <v>5406478</v>
      </c>
      <c r="B1299" t="s">
        <v>6576</v>
      </c>
      <c r="C1299" t="str">
        <f>"9780128131602"</f>
        <v>9780128131602</v>
      </c>
      <c r="D1299" t="str">
        <f>"9780128131619"</f>
        <v>9780128131619</v>
      </c>
      <c r="E1299" t="s">
        <v>190</v>
      </c>
      <c r="F1299" t="s">
        <v>282</v>
      </c>
      <c r="G1299" s="1">
        <v>43251</v>
      </c>
      <c r="H1299" s="1">
        <v>43253</v>
      </c>
      <c r="K1299" t="s">
        <v>6577</v>
      </c>
      <c r="L1299" t="s">
        <v>113</v>
      </c>
      <c r="M1299" t="s">
        <v>6578</v>
      </c>
      <c r="N1299">
        <v>628.16200000000003</v>
      </c>
      <c r="O1299" t="s">
        <v>6579</v>
      </c>
      <c r="P1299" t="s">
        <v>18</v>
      </c>
    </row>
    <row r="1300" spans="1:16" x14ac:dyDescent="0.35">
      <c r="A1300">
        <v>5446917</v>
      </c>
      <c r="B1300" t="s">
        <v>6580</v>
      </c>
      <c r="C1300" t="str">
        <f>"9781536134483"</f>
        <v>9781536134483</v>
      </c>
      <c r="D1300" t="str">
        <f>"9781536134490"</f>
        <v>9781536134490</v>
      </c>
      <c r="E1300" t="s">
        <v>1689</v>
      </c>
      <c r="F1300" t="s">
        <v>1689</v>
      </c>
      <c r="G1300" s="1">
        <v>43245</v>
      </c>
      <c r="H1300" s="1">
        <v>43287</v>
      </c>
      <c r="I1300">
        <v>1</v>
      </c>
      <c r="J1300" t="s">
        <v>2711</v>
      </c>
      <c r="K1300" t="s">
        <v>6581</v>
      </c>
      <c r="L1300" t="s">
        <v>373</v>
      </c>
      <c r="M1300" t="s">
        <v>6582</v>
      </c>
      <c r="N1300" t="s">
        <v>6583</v>
      </c>
      <c r="O1300" t="s">
        <v>6584</v>
      </c>
      <c r="P1300" t="s">
        <v>18</v>
      </c>
    </row>
    <row r="1301" spans="1:16" x14ac:dyDescent="0.35">
      <c r="A1301">
        <v>5400120</v>
      </c>
      <c r="B1301" t="s">
        <v>6585</v>
      </c>
      <c r="C1301" t="str">
        <f>"9780081020579"</f>
        <v>9780081020579</v>
      </c>
      <c r="D1301" t="str">
        <f>"9780081020586"</f>
        <v>9780081020586</v>
      </c>
      <c r="E1301" t="s">
        <v>190</v>
      </c>
      <c r="F1301" t="s">
        <v>280</v>
      </c>
      <c r="G1301" s="1">
        <v>43242</v>
      </c>
      <c r="H1301" s="1">
        <v>43245</v>
      </c>
      <c r="J1301" t="s">
        <v>490</v>
      </c>
      <c r="K1301" t="s">
        <v>6586</v>
      </c>
      <c r="L1301" t="s">
        <v>6587</v>
      </c>
      <c r="M1301" t="s">
        <v>6588</v>
      </c>
      <c r="N1301">
        <v>621.31042028599995</v>
      </c>
      <c r="O1301" t="s">
        <v>6589</v>
      </c>
      <c r="P1301" t="s">
        <v>18</v>
      </c>
    </row>
    <row r="1302" spans="1:16" x14ac:dyDescent="0.35">
      <c r="A1302">
        <v>5398063</v>
      </c>
      <c r="B1302" t="s">
        <v>6590</v>
      </c>
      <c r="C1302" t="str">
        <f>"9780128032046"</f>
        <v>9780128032046</v>
      </c>
      <c r="D1302" t="str">
        <f>"9780128032053"</f>
        <v>9780128032053</v>
      </c>
      <c r="E1302" t="s">
        <v>1699</v>
      </c>
      <c r="F1302" t="s">
        <v>1699</v>
      </c>
      <c r="G1302" s="1">
        <v>43238</v>
      </c>
      <c r="H1302" s="1">
        <v>43240</v>
      </c>
      <c r="K1302" t="s">
        <v>6591</v>
      </c>
      <c r="L1302" t="s">
        <v>328</v>
      </c>
      <c r="M1302" t="s">
        <v>6592</v>
      </c>
      <c r="N1302" t="s">
        <v>6593</v>
      </c>
      <c r="O1302" t="s">
        <v>6594</v>
      </c>
      <c r="P1302" t="s">
        <v>18</v>
      </c>
    </row>
    <row r="1303" spans="1:16" x14ac:dyDescent="0.35">
      <c r="A1303">
        <v>5352744</v>
      </c>
      <c r="B1303" t="s">
        <v>6595</v>
      </c>
      <c r="C1303" t="str">
        <f>"9781350046825"</f>
        <v>9781350046825</v>
      </c>
      <c r="D1303" t="str">
        <f>"9781350046849"</f>
        <v>9781350046849</v>
      </c>
      <c r="E1303" t="s">
        <v>354</v>
      </c>
      <c r="F1303" t="s">
        <v>355</v>
      </c>
      <c r="G1303" s="1">
        <v>43237</v>
      </c>
      <c r="H1303" s="1">
        <v>43213</v>
      </c>
      <c r="J1303" t="s">
        <v>6596</v>
      </c>
      <c r="K1303" t="s">
        <v>6597</v>
      </c>
      <c r="L1303" t="s">
        <v>37</v>
      </c>
      <c r="M1303" t="s">
        <v>6598</v>
      </c>
      <c r="N1303">
        <v>205.691</v>
      </c>
      <c r="O1303" t="s">
        <v>6599</v>
      </c>
      <c r="P1303" t="s">
        <v>18</v>
      </c>
    </row>
    <row r="1304" spans="1:16" x14ac:dyDescent="0.35">
      <c r="A1304">
        <v>5398368</v>
      </c>
      <c r="B1304" t="s">
        <v>6600</v>
      </c>
      <c r="C1304" t="str">
        <f>"9780128137475"</f>
        <v>9780128137475</v>
      </c>
      <c r="D1304" t="str">
        <f>"9780128137482"</f>
        <v>9780128137482</v>
      </c>
      <c r="E1304" t="s">
        <v>1699</v>
      </c>
      <c r="F1304" t="s">
        <v>1699</v>
      </c>
      <c r="G1304" s="1">
        <v>43237</v>
      </c>
      <c r="H1304" s="1">
        <v>43241</v>
      </c>
      <c r="K1304" t="s">
        <v>6601</v>
      </c>
      <c r="L1304" t="s">
        <v>163</v>
      </c>
      <c r="M1304" t="s">
        <v>6602</v>
      </c>
      <c r="N1304">
        <v>363.73939999999999</v>
      </c>
      <c r="O1304" t="s">
        <v>6603</v>
      </c>
      <c r="P1304" t="s">
        <v>18</v>
      </c>
    </row>
    <row r="1305" spans="1:16" x14ac:dyDescent="0.35">
      <c r="A1305">
        <v>5399302</v>
      </c>
      <c r="B1305" t="s">
        <v>6604</v>
      </c>
      <c r="C1305" t="str">
        <f>"9780081025574"</f>
        <v>9780081025574</v>
      </c>
      <c r="D1305" t="str">
        <f>"9780081025581"</f>
        <v>9780081025581</v>
      </c>
      <c r="E1305" t="s">
        <v>1699</v>
      </c>
      <c r="F1305" t="s">
        <v>1699</v>
      </c>
      <c r="G1305" s="1">
        <v>43237</v>
      </c>
      <c r="H1305" s="1">
        <v>43244</v>
      </c>
      <c r="I1305">
        <v>3</v>
      </c>
      <c r="K1305" t="s">
        <v>6605</v>
      </c>
      <c r="L1305" t="s">
        <v>76</v>
      </c>
      <c r="M1305" t="s">
        <v>6606</v>
      </c>
      <c r="N1305">
        <v>660.28099999999995</v>
      </c>
      <c r="O1305" t="s">
        <v>6607</v>
      </c>
      <c r="P1305" t="s">
        <v>18</v>
      </c>
    </row>
    <row r="1306" spans="1:16" x14ac:dyDescent="0.35">
      <c r="A1306">
        <v>5394365</v>
      </c>
      <c r="B1306" t="s">
        <v>6608</v>
      </c>
      <c r="C1306" t="str">
        <f>"9780128128664"</f>
        <v>9780128128664</v>
      </c>
      <c r="D1306" t="str">
        <f>"9780128128671"</f>
        <v>9780128128671</v>
      </c>
      <c r="E1306" t="s">
        <v>190</v>
      </c>
      <c r="F1306" t="s">
        <v>191</v>
      </c>
      <c r="G1306" s="1">
        <v>43235</v>
      </c>
      <c r="H1306" s="1">
        <v>43237</v>
      </c>
      <c r="J1306" t="s">
        <v>291</v>
      </c>
      <c r="K1306" t="s">
        <v>6609</v>
      </c>
      <c r="L1306" t="s">
        <v>168</v>
      </c>
      <c r="M1306" t="s">
        <v>6610</v>
      </c>
      <c r="N1306">
        <v>630.24</v>
      </c>
      <c r="O1306" t="s">
        <v>6611</v>
      </c>
      <c r="P1306" t="s">
        <v>18</v>
      </c>
    </row>
    <row r="1307" spans="1:16" x14ac:dyDescent="0.35">
      <c r="A1307">
        <v>5516306</v>
      </c>
      <c r="B1307" t="s">
        <v>6612</v>
      </c>
      <c r="C1307" t="str">
        <f>""</f>
        <v/>
      </c>
      <c r="D1307" t="str">
        <f>"9781786391322"</f>
        <v>9781786391322</v>
      </c>
      <c r="E1307" t="s">
        <v>333</v>
      </c>
      <c r="F1307" t="s">
        <v>333</v>
      </c>
      <c r="G1307" s="1">
        <v>43234</v>
      </c>
      <c r="H1307" s="1">
        <v>43359</v>
      </c>
      <c r="K1307" t="s">
        <v>6613</v>
      </c>
      <c r="L1307" t="s">
        <v>308</v>
      </c>
      <c r="M1307" t="s">
        <v>6614</v>
      </c>
      <c r="N1307">
        <v>338.47910000000002</v>
      </c>
      <c r="O1307" t="s">
        <v>6615</v>
      </c>
      <c r="P1307" t="s">
        <v>18</v>
      </c>
    </row>
    <row r="1308" spans="1:16" x14ac:dyDescent="0.35">
      <c r="A1308">
        <v>5345299</v>
      </c>
      <c r="B1308" t="s">
        <v>6616</v>
      </c>
      <c r="C1308" t="str">
        <f>"9781522557579"</f>
        <v>9781522557579</v>
      </c>
      <c r="D1308" t="str">
        <f>"9781522557586"</f>
        <v>9781522557586</v>
      </c>
      <c r="E1308" t="s">
        <v>138</v>
      </c>
      <c r="F1308" t="s">
        <v>1769</v>
      </c>
      <c r="G1308" s="1">
        <v>43231</v>
      </c>
      <c r="H1308" s="1">
        <v>43203</v>
      </c>
      <c r="K1308" t="s">
        <v>2522</v>
      </c>
      <c r="L1308" t="s">
        <v>28</v>
      </c>
      <c r="M1308" t="s">
        <v>6617</v>
      </c>
      <c r="N1308">
        <v>658.7</v>
      </c>
      <c r="O1308" t="s">
        <v>5799</v>
      </c>
      <c r="P1308" t="s">
        <v>18</v>
      </c>
    </row>
    <row r="1309" spans="1:16" x14ac:dyDescent="0.35">
      <c r="A1309">
        <v>5391895</v>
      </c>
      <c r="B1309" t="s">
        <v>6618</v>
      </c>
      <c r="C1309" t="str">
        <f>"9780128118917"</f>
        <v>9780128118917</v>
      </c>
      <c r="D1309" t="str">
        <f>"9780128118924"</f>
        <v>9780128118924</v>
      </c>
      <c r="E1309" t="s">
        <v>1699</v>
      </c>
      <c r="F1309" t="s">
        <v>1699</v>
      </c>
      <c r="G1309" s="1">
        <v>43231</v>
      </c>
      <c r="H1309" s="1">
        <v>43234</v>
      </c>
      <c r="K1309" t="s">
        <v>6619</v>
      </c>
      <c r="L1309" t="s">
        <v>163</v>
      </c>
      <c r="M1309" t="s">
        <v>6620</v>
      </c>
      <c r="N1309">
        <v>363.73874000000001</v>
      </c>
      <c r="O1309" t="s">
        <v>6621</v>
      </c>
      <c r="P1309" t="s">
        <v>18</v>
      </c>
    </row>
    <row r="1310" spans="1:16" x14ac:dyDescent="0.35">
      <c r="A1310">
        <v>5357885</v>
      </c>
      <c r="B1310" t="s">
        <v>6622</v>
      </c>
      <c r="C1310" t="str">
        <f>"9781522541653"</f>
        <v>9781522541653</v>
      </c>
      <c r="D1310" t="str">
        <f>"9781522541660"</f>
        <v>9781522541660</v>
      </c>
      <c r="E1310" t="s">
        <v>138</v>
      </c>
      <c r="F1310" t="s">
        <v>1789</v>
      </c>
      <c r="G1310" s="1">
        <v>43229</v>
      </c>
      <c r="H1310" s="1">
        <v>43217</v>
      </c>
      <c r="K1310" t="s">
        <v>6623</v>
      </c>
      <c r="L1310" t="s">
        <v>33</v>
      </c>
      <c r="M1310" t="s">
        <v>6624</v>
      </c>
      <c r="N1310" t="s">
        <v>6625</v>
      </c>
      <c r="O1310" t="s">
        <v>6626</v>
      </c>
      <c r="P1310" t="s">
        <v>18</v>
      </c>
    </row>
    <row r="1311" spans="1:16" x14ac:dyDescent="0.35">
      <c r="A1311">
        <v>5389630</v>
      </c>
      <c r="B1311" t="s">
        <v>6627</v>
      </c>
      <c r="C1311" t="str">
        <f>"9780128120569"</f>
        <v>9780128120569</v>
      </c>
      <c r="D1311" t="str">
        <f>"9780128120576"</f>
        <v>9780128120576</v>
      </c>
      <c r="E1311" t="s">
        <v>1699</v>
      </c>
      <c r="F1311" t="s">
        <v>1699</v>
      </c>
      <c r="G1311" s="1">
        <v>43229</v>
      </c>
      <c r="H1311" s="1">
        <v>43272</v>
      </c>
      <c r="K1311" t="s">
        <v>6628</v>
      </c>
      <c r="L1311" t="s">
        <v>38</v>
      </c>
      <c r="M1311" t="s">
        <v>6629</v>
      </c>
      <c r="N1311">
        <v>363.346</v>
      </c>
      <c r="P1311" t="s">
        <v>18</v>
      </c>
    </row>
    <row r="1312" spans="1:16" x14ac:dyDescent="0.35">
      <c r="A1312">
        <v>5379881</v>
      </c>
      <c r="B1312" t="s">
        <v>6630</v>
      </c>
      <c r="C1312" t="str">
        <f>"9780081021316"</f>
        <v>9780081021316</v>
      </c>
      <c r="D1312" t="str">
        <f>"9780081021385"</f>
        <v>9780081021385</v>
      </c>
      <c r="E1312" t="s">
        <v>190</v>
      </c>
      <c r="F1312" t="s">
        <v>280</v>
      </c>
      <c r="G1312" s="1">
        <v>43221</v>
      </c>
      <c r="H1312" s="1">
        <v>43226</v>
      </c>
      <c r="J1312" t="s">
        <v>486</v>
      </c>
      <c r="K1312" t="s">
        <v>6631</v>
      </c>
      <c r="L1312" t="s">
        <v>165</v>
      </c>
      <c r="M1312" t="s">
        <v>6632</v>
      </c>
      <c r="N1312">
        <v>620.11800000000005</v>
      </c>
      <c r="O1312" t="s">
        <v>6633</v>
      </c>
      <c r="P1312" t="s">
        <v>18</v>
      </c>
    </row>
    <row r="1313" spans="1:16" x14ac:dyDescent="0.35">
      <c r="A1313">
        <v>5331585</v>
      </c>
      <c r="B1313" t="s">
        <v>6634</v>
      </c>
      <c r="C1313" t="str">
        <f>"9781522553632"</f>
        <v>9781522553632</v>
      </c>
      <c r="D1313" t="str">
        <f>"9781522553649"</f>
        <v>9781522553649</v>
      </c>
      <c r="E1313" t="s">
        <v>138</v>
      </c>
      <c r="F1313" t="s">
        <v>6635</v>
      </c>
      <c r="G1313" s="1">
        <v>43217</v>
      </c>
      <c r="H1313" s="1">
        <v>43189</v>
      </c>
      <c r="K1313" t="s">
        <v>6636</v>
      </c>
      <c r="L1313" t="s">
        <v>168</v>
      </c>
      <c r="M1313" t="s">
        <v>6637</v>
      </c>
      <c r="N1313">
        <v>637</v>
      </c>
      <c r="P1313" t="s">
        <v>18</v>
      </c>
    </row>
    <row r="1314" spans="1:16" x14ac:dyDescent="0.35">
      <c r="A1314">
        <v>5376164</v>
      </c>
      <c r="B1314" t="s">
        <v>6638</v>
      </c>
      <c r="C1314" t="str">
        <f>"9780128142325"</f>
        <v>9780128142325</v>
      </c>
      <c r="D1314" t="str">
        <f>"9780128142332"</f>
        <v>9780128142332</v>
      </c>
      <c r="E1314" t="s">
        <v>190</v>
      </c>
      <c r="F1314" t="s">
        <v>191</v>
      </c>
      <c r="G1314" s="1">
        <v>43215</v>
      </c>
      <c r="H1314" s="1">
        <v>43221</v>
      </c>
      <c r="K1314" t="s">
        <v>6639</v>
      </c>
      <c r="L1314" t="s">
        <v>6640</v>
      </c>
      <c r="M1314" t="s">
        <v>6641</v>
      </c>
      <c r="N1314">
        <v>615.32100000000003</v>
      </c>
      <c r="O1314" t="s">
        <v>6642</v>
      </c>
      <c r="P1314" t="s">
        <v>18</v>
      </c>
    </row>
    <row r="1315" spans="1:16" x14ac:dyDescent="0.35">
      <c r="A1315">
        <v>5352670</v>
      </c>
      <c r="B1315" t="s">
        <v>6643</v>
      </c>
      <c r="C1315" t="str">
        <f>"9780128158180"</f>
        <v>9780128158180</v>
      </c>
      <c r="D1315" t="str">
        <f>"9780128167120"</f>
        <v>9780128167120</v>
      </c>
      <c r="E1315" t="s">
        <v>190</v>
      </c>
      <c r="F1315" t="s">
        <v>282</v>
      </c>
      <c r="G1315" s="1">
        <v>43209</v>
      </c>
      <c r="H1315" s="1">
        <v>43211</v>
      </c>
      <c r="K1315" t="s">
        <v>6644</v>
      </c>
      <c r="L1315" t="s">
        <v>104</v>
      </c>
      <c r="M1315" t="s">
        <v>6645</v>
      </c>
      <c r="N1315">
        <v>628.16700000000003</v>
      </c>
      <c r="O1315" t="s">
        <v>6646</v>
      </c>
      <c r="P1315" t="s">
        <v>18</v>
      </c>
    </row>
    <row r="1316" spans="1:16" x14ac:dyDescent="0.35">
      <c r="A1316">
        <v>5349031</v>
      </c>
      <c r="B1316" t="s">
        <v>6647</v>
      </c>
      <c r="C1316" t="str">
        <f>"9780128127667"</f>
        <v>9780128127667</v>
      </c>
      <c r="D1316" t="str">
        <f>"9780128127674"</f>
        <v>9780128127674</v>
      </c>
      <c r="E1316" t="s">
        <v>190</v>
      </c>
      <c r="F1316" t="s">
        <v>191</v>
      </c>
      <c r="G1316" s="1">
        <v>43208</v>
      </c>
      <c r="H1316" s="1">
        <v>43209</v>
      </c>
      <c r="K1316" t="s">
        <v>6648</v>
      </c>
      <c r="L1316" t="s">
        <v>168</v>
      </c>
      <c r="M1316" t="s">
        <v>6649</v>
      </c>
      <c r="N1316">
        <v>631.41700000000003</v>
      </c>
      <c r="O1316" t="s">
        <v>6650</v>
      </c>
      <c r="P1316" t="s">
        <v>18</v>
      </c>
    </row>
    <row r="1317" spans="1:16" x14ac:dyDescent="0.35">
      <c r="A1317">
        <v>5327185</v>
      </c>
      <c r="B1317" t="s">
        <v>6651</v>
      </c>
      <c r="C1317" t="str">
        <f>"9781522535430"</f>
        <v>9781522535430</v>
      </c>
      <c r="D1317" t="str">
        <f>"9781522535447"</f>
        <v>9781522535447</v>
      </c>
      <c r="E1317" t="s">
        <v>138</v>
      </c>
      <c r="F1317" t="s">
        <v>1769</v>
      </c>
      <c r="G1317" s="1">
        <v>43203</v>
      </c>
      <c r="H1317" s="1">
        <v>43183</v>
      </c>
      <c r="K1317" t="s">
        <v>6652</v>
      </c>
      <c r="L1317" t="s">
        <v>28</v>
      </c>
      <c r="M1317" t="s">
        <v>6653</v>
      </c>
      <c r="N1317" t="s">
        <v>6654</v>
      </c>
      <c r="O1317" t="s">
        <v>6655</v>
      </c>
      <c r="P1317" t="s">
        <v>18</v>
      </c>
    </row>
    <row r="1318" spans="1:16" x14ac:dyDescent="0.35">
      <c r="A1318">
        <v>5347047</v>
      </c>
      <c r="B1318" t="s">
        <v>6656</v>
      </c>
      <c r="C1318" t="str">
        <f>"9780081022276"</f>
        <v>9780081022276</v>
      </c>
      <c r="D1318" t="str">
        <f>"9780081022368"</f>
        <v>9780081022368</v>
      </c>
      <c r="E1318" t="s">
        <v>1699</v>
      </c>
      <c r="F1318" t="s">
        <v>1699</v>
      </c>
      <c r="G1318" s="1">
        <v>43202</v>
      </c>
      <c r="H1318" s="1">
        <v>43206</v>
      </c>
      <c r="K1318" t="s">
        <v>6657</v>
      </c>
      <c r="L1318" t="s">
        <v>6658</v>
      </c>
      <c r="M1318" t="s">
        <v>6659</v>
      </c>
      <c r="N1318">
        <v>615.321095496</v>
      </c>
      <c r="O1318" t="s">
        <v>6660</v>
      </c>
      <c r="P1318" t="s">
        <v>18</v>
      </c>
    </row>
    <row r="1319" spans="1:16" x14ac:dyDescent="0.35">
      <c r="A1319">
        <v>5346268</v>
      </c>
      <c r="B1319" t="s">
        <v>6661</v>
      </c>
      <c r="C1319" t="str">
        <f>"9780128116876"</f>
        <v>9780128116876</v>
      </c>
      <c r="D1319" t="str">
        <f>"9780128116883"</f>
        <v>9780128116883</v>
      </c>
      <c r="E1319" t="s">
        <v>190</v>
      </c>
      <c r="F1319" t="s">
        <v>191</v>
      </c>
      <c r="G1319" s="1">
        <v>43200</v>
      </c>
      <c r="H1319" s="1">
        <v>43204</v>
      </c>
      <c r="K1319" t="s">
        <v>6662</v>
      </c>
      <c r="L1319" t="s">
        <v>168</v>
      </c>
      <c r="M1319" t="s">
        <v>6663</v>
      </c>
      <c r="N1319">
        <v>631.41</v>
      </c>
      <c r="O1319" t="s">
        <v>6664</v>
      </c>
      <c r="P1319" t="s">
        <v>18</v>
      </c>
    </row>
    <row r="1320" spans="1:16" x14ac:dyDescent="0.35">
      <c r="A1320">
        <v>5341989</v>
      </c>
      <c r="B1320" t="s">
        <v>6665</v>
      </c>
      <c r="C1320" t="str">
        <f>"9780128130643"</f>
        <v>9780128130643</v>
      </c>
      <c r="D1320" t="str">
        <f>"9780128130650"</f>
        <v>9780128130650</v>
      </c>
      <c r="E1320" t="s">
        <v>190</v>
      </c>
      <c r="F1320" t="s">
        <v>191</v>
      </c>
      <c r="G1320" s="1">
        <v>43196</v>
      </c>
      <c r="H1320" s="1">
        <v>43199</v>
      </c>
      <c r="K1320" t="s">
        <v>6666</v>
      </c>
      <c r="L1320" t="s">
        <v>6667</v>
      </c>
      <c r="M1320" t="s">
        <v>6668</v>
      </c>
      <c r="N1320">
        <v>363.73874609142001</v>
      </c>
      <c r="O1320" t="s">
        <v>6669</v>
      </c>
      <c r="P1320" t="s">
        <v>18</v>
      </c>
    </row>
    <row r="1321" spans="1:16" x14ac:dyDescent="0.35">
      <c r="A1321">
        <v>5344390</v>
      </c>
      <c r="B1321" t="s">
        <v>6670</v>
      </c>
      <c r="C1321" t="str">
        <f>"9780081009840"</f>
        <v>9780081009840</v>
      </c>
      <c r="D1321" t="str">
        <f>"9780081009901"</f>
        <v>9780081009901</v>
      </c>
      <c r="E1321" t="s">
        <v>190</v>
      </c>
      <c r="F1321" t="s">
        <v>280</v>
      </c>
      <c r="G1321" s="1">
        <v>43196</v>
      </c>
      <c r="H1321" s="1">
        <v>43203</v>
      </c>
      <c r="J1321" t="s">
        <v>487</v>
      </c>
      <c r="K1321" t="s">
        <v>6671</v>
      </c>
      <c r="L1321" t="s">
        <v>76</v>
      </c>
      <c r="M1321" t="s">
        <v>6672</v>
      </c>
      <c r="N1321">
        <v>666.1</v>
      </c>
      <c r="O1321" t="s">
        <v>6673</v>
      </c>
      <c r="P1321" t="s">
        <v>18</v>
      </c>
    </row>
    <row r="1322" spans="1:16" x14ac:dyDescent="0.35">
      <c r="A1322">
        <v>5344288</v>
      </c>
      <c r="B1322" t="s">
        <v>6674</v>
      </c>
      <c r="C1322" t="str">
        <f>"9780081001967"</f>
        <v>9780081001967</v>
      </c>
      <c r="D1322" t="str">
        <f>"9780081022870"</f>
        <v>9780081022870</v>
      </c>
      <c r="E1322" t="s">
        <v>190</v>
      </c>
      <c r="F1322" t="s">
        <v>2139</v>
      </c>
      <c r="G1322" s="1">
        <v>43195</v>
      </c>
      <c r="H1322" s="1">
        <v>43203</v>
      </c>
      <c r="K1322" t="s">
        <v>6675</v>
      </c>
      <c r="L1322" t="s">
        <v>2108</v>
      </c>
      <c r="M1322" t="s">
        <v>6676</v>
      </c>
      <c r="N1322">
        <v>622.33820000000003</v>
      </c>
      <c r="O1322" t="s">
        <v>6677</v>
      </c>
      <c r="P1322" t="s">
        <v>18</v>
      </c>
    </row>
    <row r="1323" spans="1:16" x14ac:dyDescent="0.35">
      <c r="A1323">
        <v>5668210</v>
      </c>
      <c r="B1323" t="s">
        <v>6678</v>
      </c>
      <c r="C1323" t="str">
        <f>"9781510730816"</f>
        <v>9781510730816</v>
      </c>
      <c r="D1323" t="str">
        <f>"9781510730823"</f>
        <v>9781510730823</v>
      </c>
      <c r="E1323" t="s">
        <v>3276</v>
      </c>
      <c r="F1323" t="s">
        <v>3276</v>
      </c>
      <c r="G1323" s="1">
        <v>43193</v>
      </c>
      <c r="H1323" s="1">
        <v>43500</v>
      </c>
      <c r="K1323" t="s">
        <v>6679</v>
      </c>
      <c r="L1323" t="s">
        <v>6680</v>
      </c>
      <c r="P1323" t="s">
        <v>18</v>
      </c>
    </row>
    <row r="1324" spans="1:16" x14ac:dyDescent="0.35">
      <c r="A1324">
        <v>5264822</v>
      </c>
      <c r="B1324" t="s">
        <v>6681</v>
      </c>
      <c r="C1324" t="str">
        <f>""</f>
        <v/>
      </c>
      <c r="D1324" t="str">
        <f>"9781522545514"</f>
        <v>9781522545514</v>
      </c>
      <c r="E1324" t="s">
        <v>138</v>
      </c>
      <c r="F1324" t="s">
        <v>138</v>
      </c>
      <c r="G1324" s="1">
        <v>43191</v>
      </c>
      <c r="H1324" s="1">
        <v>43139</v>
      </c>
      <c r="K1324" t="s">
        <v>2410</v>
      </c>
      <c r="L1324" t="s">
        <v>38</v>
      </c>
      <c r="M1324" t="s">
        <v>6257</v>
      </c>
      <c r="N1324">
        <v>304.2</v>
      </c>
      <c r="O1324" t="s">
        <v>6682</v>
      </c>
      <c r="P1324" t="s">
        <v>18</v>
      </c>
    </row>
    <row r="1325" spans="1:16" x14ac:dyDescent="0.35">
      <c r="A1325">
        <v>5334137</v>
      </c>
      <c r="B1325" t="s">
        <v>6683</v>
      </c>
      <c r="C1325" t="str">
        <f>""</f>
        <v/>
      </c>
      <c r="D1325" t="str">
        <f>"9781522546641"</f>
        <v>9781522546641</v>
      </c>
      <c r="E1325" t="s">
        <v>138</v>
      </c>
      <c r="F1325" t="s">
        <v>138</v>
      </c>
      <c r="G1325" s="1">
        <v>43191</v>
      </c>
      <c r="H1325" s="1">
        <v>43191</v>
      </c>
      <c r="K1325" t="s">
        <v>3292</v>
      </c>
      <c r="L1325" t="s">
        <v>41</v>
      </c>
      <c r="M1325" t="s">
        <v>6259</v>
      </c>
      <c r="N1325">
        <v>338</v>
      </c>
      <c r="O1325" t="s">
        <v>5830</v>
      </c>
      <c r="P1325" t="s">
        <v>18</v>
      </c>
    </row>
    <row r="1326" spans="1:16" x14ac:dyDescent="0.35">
      <c r="A1326">
        <v>5328491</v>
      </c>
      <c r="B1326" t="s">
        <v>6684</v>
      </c>
      <c r="C1326" t="str">
        <f>"9781786433343"</f>
        <v>9781786433343</v>
      </c>
      <c r="D1326" t="str">
        <f>"9781786433350"</f>
        <v>9781786433350</v>
      </c>
      <c r="E1326" t="s">
        <v>2080</v>
      </c>
      <c r="F1326" t="s">
        <v>2080</v>
      </c>
      <c r="G1326" s="1">
        <v>43189</v>
      </c>
      <c r="H1326" s="1">
        <v>43186</v>
      </c>
      <c r="I1326">
        <v>1</v>
      </c>
      <c r="K1326" t="s">
        <v>6685</v>
      </c>
      <c r="L1326" t="s">
        <v>28</v>
      </c>
      <c r="M1326" t="s">
        <v>6686</v>
      </c>
      <c r="N1326">
        <v>658.40800000000002</v>
      </c>
      <c r="O1326" t="s">
        <v>2272</v>
      </c>
      <c r="P1326" t="s">
        <v>18</v>
      </c>
    </row>
    <row r="1327" spans="1:16" x14ac:dyDescent="0.35">
      <c r="A1327">
        <v>5328500</v>
      </c>
      <c r="B1327" t="s">
        <v>6687</v>
      </c>
      <c r="C1327" t="str">
        <f>"9781788112246"</f>
        <v>9781788112246</v>
      </c>
      <c r="D1327" t="str">
        <f>"9781788112253"</f>
        <v>9781788112253</v>
      </c>
      <c r="E1327" t="s">
        <v>2080</v>
      </c>
      <c r="F1327" t="s">
        <v>2080</v>
      </c>
      <c r="G1327" s="1">
        <v>43189</v>
      </c>
      <c r="H1327" s="1">
        <v>43186</v>
      </c>
      <c r="I1327">
        <v>1</v>
      </c>
      <c r="K1327" t="s">
        <v>6688</v>
      </c>
      <c r="L1327" t="s">
        <v>2615</v>
      </c>
      <c r="M1327" t="s">
        <v>6689</v>
      </c>
      <c r="N1327">
        <v>338.47539709400002</v>
      </c>
      <c r="O1327" t="s">
        <v>6690</v>
      </c>
      <c r="P1327" t="s">
        <v>18</v>
      </c>
    </row>
    <row r="1328" spans="1:16" x14ac:dyDescent="0.35">
      <c r="A1328">
        <v>5316733</v>
      </c>
      <c r="B1328" t="s">
        <v>6691</v>
      </c>
      <c r="C1328" t="str">
        <f>"9783035712841"</f>
        <v>9783035712841</v>
      </c>
      <c r="D1328" t="str">
        <f>"9783035732849"</f>
        <v>9783035732849</v>
      </c>
      <c r="E1328" t="s">
        <v>1649</v>
      </c>
      <c r="F1328" t="s">
        <v>1649</v>
      </c>
      <c r="G1328" s="1">
        <v>43187</v>
      </c>
      <c r="H1328" s="1">
        <v>43166</v>
      </c>
      <c r="I1328">
        <v>1</v>
      </c>
      <c r="J1328" t="s">
        <v>5542</v>
      </c>
      <c r="K1328" t="s">
        <v>6692</v>
      </c>
      <c r="L1328" t="s">
        <v>374</v>
      </c>
      <c r="P1328" t="s">
        <v>18</v>
      </c>
    </row>
    <row r="1329" spans="1:16" x14ac:dyDescent="0.35">
      <c r="A1329">
        <v>5331603</v>
      </c>
      <c r="B1329" t="s">
        <v>6693</v>
      </c>
      <c r="C1329" t="str">
        <f>"9780128124611"</f>
        <v>9780128124611</v>
      </c>
      <c r="D1329" t="str">
        <f>"9780128124628"</f>
        <v>9780128124628</v>
      </c>
      <c r="E1329" t="s">
        <v>190</v>
      </c>
      <c r="F1329" t="s">
        <v>282</v>
      </c>
      <c r="G1329" s="1">
        <v>43187</v>
      </c>
      <c r="H1329" s="1">
        <v>43189</v>
      </c>
      <c r="K1329" t="s">
        <v>6694</v>
      </c>
      <c r="L1329" t="s">
        <v>426</v>
      </c>
      <c r="M1329" t="s">
        <v>6695</v>
      </c>
      <c r="N1329">
        <v>690.52028600000006</v>
      </c>
      <c r="O1329" t="s">
        <v>6696</v>
      </c>
      <c r="P1329" t="s">
        <v>18</v>
      </c>
    </row>
    <row r="1330" spans="1:16" x14ac:dyDescent="0.35">
      <c r="A1330">
        <v>5340147</v>
      </c>
      <c r="B1330" t="s">
        <v>6697</v>
      </c>
      <c r="C1330" t="str">
        <f>"9781785338441"</f>
        <v>9781785338441</v>
      </c>
      <c r="D1330" t="str">
        <f>"9781785338465"</f>
        <v>9781785338465</v>
      </c>
      <c r="E1330" t="s">
        <v>447</v>
      </c>
      <c r="F1330" t="s">
        <v>447</v>
      </c>
      <c r="G1330" s="1">
        <v>43187</v>
      </c>
      <c r="H1330" s="1">
        <v>43198</v>
      </c>
      <c r="I1330">
        <v>1</v>
      </c>
      <c r="K1330" t="s">
        <v>6698</v>
      </c>
      <c r="L1330" t="s">
        <v>26</v>
      </c>
      <c r="M1330" t="s">
        <v>6699</v>
      </c>
      <c r="N1330">
        <v>338.92700000000002</v>
      </c>
      <c r="P1330" t="s">
        <v>18</v>
      </c>
    </row>
    <row r="1331" spans="1:16" x14ac:dyDescent="0.35">
      <c r="A1331">
        <v>5355867</v>
      </c>
      <c r="B1331" t="s">
        <v>6700</v>
      </c>
      <c r="C1331" t="str">
        <f>"9781785482779"</f>
        <v>9781785482779</v>
      </c>
      <c r="D1331" t="str">
        <f>"9780081025673"</f>
        <v>9780081025673</v>
      </c>
      <c r="E1331" t="s">
        <v>1699</v>
      </c>
      <c r="F1331" t="s">
        <v>1699</v>
      </c>
      <c r="G1331" s="1">
        <v>43182</v>
      </c>
      <c r="H1331" s="1">
        <v>43216</v>
      </c>
      <c r="K1331" t="s">
        <v>6701</v>
      </c>
      <c r="L1331" t="s">
        <v>6702</v>
      </c>
      <c r="M1331" t="s">
        <v>6703</v>
      </c>
      <c r="N1331">
        <v>333.95</v>
      </c>
      <c r="O1331" t="s">
        <v>6704</v>
      </c>
      <c r="P1331" t="s">
        <v>18</v>
      </c>
    </row>
    <row r="1332" spans="1:16" x14ac:dyDescent="0.35">
      <c r="A1332">
        <v>5327208</v>
      </c>
      <c r="B1332" t="s">
        <v>6705</v>
      </c>
      <c r="C1332" t="str">
        <f>"9780128120217"</f>
        <v>9780128120217</v>
      </c>
      <c r="D1332" t="str">
        <f>"9780128120224"</f>
        <v>9780128120224</v>
      </c>
      <c r="E1332" t="s">
        <v>1699</v>
      </c>
      <c r="F1332" t="s">
        <v>1699</v>
      </c>
      <c r="G1332" s="1">
        <v>43181</v>
      </c>
      <c r="H1332" s="1">
        <v>43183</v>
      </c>
      <c r="K1332" t="s">
        <v>6706</v>
      </c>
      <c r="L1332" t="s">
        <v>396</v>
      </c>
      <c r="M1332" t="s">
        <v>6707</v>
      </c>
      <c r="N1332">
        <v>363.73874599999999</v>
      </c>
      <c r="O1332" t="s">
        <v>6708</v>
      </c>
      <c r="P1332" t="s">
        <v>18</v>
      </c>
    </row>
    <row r="1333" spans="1:16" x14ac:dyDescent="0.35">
      <c r="A1333">
        <v>5334157</v>
      </c>
      <c r="B1333" t="s">
        <v>6709</v>
      </c>
      <c r="C1333" t="str">
        <f>"9780128498699"</f>
        <v>9780128498699</v>
      </c>
      <c r="D1333" t="str">
        <f>"9780128118948"</f>
        <v>9780128118948</v>
      </c>
      <c r="E1333" t="s">
        <v>190</v>
      </c>
      <c r="F1333" t="s">
        <v>282</v>
      </c>
      <c r="G1333" s="1">
        <v>43179</v>
      </c>
      <c r="H1333" s="1">
        <v>43191</v>
      </c>
      <c r="K1333" t="s">
        <v>6710</v>
      </c>
      <c r="L1333" t="s">
        <v>84</v>
      </c>
      <c r="M1333" t="s">
        <v>6711</v>
      </c>
      <c r="N1333">
        <v>690.02859999999998</v>
      </c>
      <c r="O1333" t="s">
        <v>6712</v>
      </c>
      <c r="P1333" t="s">
        <v>18</v>
      </c>
    </row>
    <row r="1334" spans="1:16" x14ac:dyDescent="0.35">
      <c r="A1334">
        <v>5639159</v>
      </c>
      <c r="B1334" t="s">
        <v>6713</v>
      </c>
      <c r="C1334" t="str">
        <f>""</f>
        <v/>
      </c>
      <c r="D1334" t="str">
        <f>"9781527526228"</f>
        <v>9781527526228</v>
      </c>
      <c r="E1334" t="s">
        <v>1662</v>
      </c>
      <c r="F1334" t="s">
        <v>1662</v>
      </c>
      <c r="G1334" s="1">
        <v>43179</v>
      </c>
      <c r="H1334" s="1">
        <v>43485</v>
      </c>
      <c r="K1334" t="s">
        <v>6714</v>
      </c>
      <c r="L1334" t="s">
        <v>38</v>
      </c>
      <c r="M1334" t="s">
        <v>6715</v>
      </c>
      <c r="N1334">
        <v>305.42095999999998</v>
      </c>
      <c r="O1334" t="s">
        <v>6716</v>
      </c>
      <c r="P1334" t="s">
        <v>18</v>
      </c>
    </row>
    <row r="1335" spans="1:16" x14ac:dyDescent="0.35">
      <c r="A1335">
        <v>5305736</v>
      </c>
      <c r="B1335" t="s">
        <v>6717</v>
      </c>
      <c r="C1335" t="str">
        <f>"9781522537137"</f>
        <v>9781522537137</v>
      </c>
      <c r="D1335" t="str">
        <f>"9781522537144"</f>
        <v>9781522537144</v>
      </c>
      <c r="E1335" t="s">
        <v>138</v>
      </c>
      <c r="F1335" t="s">
        <v>1789</v>
      </c>
      <c r="G1335" s="1">
        <v>43175</v>
      </c>
      <c r="H1335" s="1">
        <v>43154</v>
      </c>
      <c r="K1335" t="s">
        <v>6718</v>
      </c>
      <c r="L1335" t="s">
        <v>26</v>
      </c>
      <c r="M1335" t="s">
        <v>6719</v>
      </c>
      <c r="N1335" t="s">
        <v>6720</v>
      </c>
      <c r="O1335" t="s">
        <v>6721</v>
      </c>
      <c r="P1335" t="s">
        <v>18</v>
      </c>
    </row>
    <row r="1336" spans="1:16" x14ac:dyDescent="0.35">
      <c r="A1336">
        <v>5317833</v>
      </c>
      <c r="B1336" t="s">
        <v>6722</v>
      </c>
      <c r="C1336" t="str">
        <f>"9781440857027"</f>
        <v>9781440857027</v>
      </c>
      <c r="D1336" t="str">
        <f>"9781440857034"</f>
        <v>9781440857034</v>
      </c>
      <c r="E1336" t="s">
        <v>440</v>
      </c>
      <c r="F1336" t="s">
        <v>314</v>
      </c>
      <c r="G1336" s="1">
        <v>43174</v>
      </c>
      <c r="H1336" s="1">
        <v>43169</v>
      </c>
      <c r="K1336" t="s">
        <v>6723</v>
      </c>
      <c r="L1336" t="s">
        <v>234</v>
      </c>
      <c r="M1336" t="s">
        <v>6724</v>
      </c>
      <c r="N1336">
        <v>25.197399999999998</v>
      </c>
      <c r="O1336" t="s">
        <v>6725</v>
      </c>
      <c r="P1336" t="s">
        <v>18</v>
      </c>
    </row>
    <row r="1337" spans="1:16" x14ac:dyDescent="0.35">
      <c r="A1337">
        <v>5322094</v>
      </c>
      <c r="B1337" t="s">
        <v>6726</v>
      </c>
      <c r="C1337" t="str">
        <f>"9780128498873"</f>
        <v>9780128498873</v>
      </c>
      <c r="D1337" t="str">
        <f>"9780128498750"</f>
        <v>9780128498750</v>
      </c>
      <c r="E1337" t="s">
        <v>1699</v>
      </c>
      <c r="F1337" t="s">
        <v>1699</v>
      </c>
      <c r="G1337" s="1">
        <v>43173</v>
      </c>
      <c r="H1337" s="1">
        <v>43175</v>
      </c>
      <c r="K1337" t="s">
        <v>6727</v>
      </c>
      <c r="L1337" t="s">
        <v>438</v>
      </c>
      <c r="M1337" t="s">
        <v>6728</v>
      </c>
      <c r="N1337">
        <v>363.73874072040002</v>
      </c>
      <c r="O1337" t="s">
        <v>6729</v>
      </c>
      <c r="P1337" t="s">
        <v>18</v>
      </c>
    </row>
    <row r="1338" spans="1:16" x14ac:dyDescent="0.35">
      <c r="A1338">
        <v>5320154</v>
      </c>
      <c r="B1338" t="s">
        <v>6730</v>
      </c>
      <c r="C1338" t="str">
        <f>"9780128092408"</f>
        <v>9780128092408</v>
      </c>
      <c r="D1338" t="str">
        <f>"9780128094969"</f>
        <v>9780128094969</v>
      </c>
      <c r="E1338" t="s">
        <v>190</v>
      </c>
      <c r="F1338" t="s">
        <v>282</v>
      </c>
      <c r="G1338" s="1">
        <v>43169</v>
      </c>
      <c r="H1338" s="1">
        <v>43170</v>
      </c>
      <c r="K1338" t="s">
        <v>6644</v>
      </c>
      <c r="L1338" t="s">
        <v>6731</v>
      </c>
      <c r="M1338" t="s">
        <v>6732</v>
      </c>
      <c r="N1338">
        <v>628.16700000000003</v>
      </c>
      <c r="O1338" t="s">
        <v>6733</v>
      </c>
      <c r="P1338" t="s">
        <v>18</v>
      </c>
    </row>
    <row r="1339" spans="1:16" x14ac:dyDescent="0.35">
      <c r="A1339">
        <v>5320449</v>
      </c>
      <c r="B1339" t="s">
        <v>6734</v>
      </c>
      <c r="C1339" t="str">
        <f>"9780128152447"</f>
        <v>9780128152447</v>
      </c>
      <c r="D1339" t="str">
        <f>"9780128154281"</f>
        <v>9780128154281</v>
      </c>
      <c r="E1339" t="s">
        <v>190</v>
      </c>
      <c r="F1339" t="s">
        <v>282</v>
      </c>
      <c r="G1339" s="1">
        <v>43169</v>
      </c>
      <c r="H1339" s="1">
        <v>43172</v>
      </c>
      <c r="K1339" t="s">
        <v>6644</v>
      </c>
      <c r="L1339" t="s">
        <v>113</v>
      </c>
      <c r="M1339" t="s">
        <v>6735</v>
      </c>
      <c r="N1339">
        <v>628.16700000000003</v>
      </c>
      <c r="O1339" t="s">
        <v>6736</v>
      </c>
      <c r="P1339" t="s">
        <v>18</v>
      </c>
    </row>
    <row r="1340" spans="1:16" x14ac:dyDescent="0.35">
      <c r="A1340">
        <v>5305724</v>
      </c>
      <c r="B1340" t="s">
        <v>6737</v>
      </c>
      <c r="C1340" t="str">
        <f>"9781522536314"</f>
        <v>9781522536314</v>
      </c>
      <c r="D1340" t="str">
        <f>"9781522536321"</f>
        <v>9781522536321</v>
      </c>
      <c r="E1340" t="s">
        <v>138</v>
      </c>
      <c r="F1340" t="s">
        <v>1764</v>
      </c>
      <c r="G1340" s="1">
        <v>43168</v>
      </c>
      <c r="H1340" s="1">
        <v>43154</v>
      </c>
      <c r="K1340" t="s">
        <v>6738</v>
      </c>
      <c r="L1340" t="s">
        <v>41</v>
      </c>
      <c r="M1340" t="s">
        <v>6739</v>
      </c>
      <c r="N1340" t="s">
        <v>2976</v>
      </c>
      <c r="O1340" t="s">
        <v>6740</v>
      </c>
      <c r="P1340" t="s">
        <v>18</v>
      </c>
    </row>
    <row r="1341" spans="1:16" x14ac:dyDescent="0.35">
      <c r="A1341">
        <v>5303092</v>
      </c>
      <c r="B1341" t="s">
        <v>6741</v>
      </c>
      <c r="C1341" t="str">
        <f>"9781927885314"</f>
        <v>9781927885314</v>
      </c>
      <c r="D1341" t="str">
        <f>"9781927885321"</f>
        <v>9781927885321</v>
      </c>
      <c r="E1341" t="s">
        <v>6742</v>
      </c>
      <c r="F1341" t="s">
        <v>6742</v>
      </c>
      <c r="G1341" s="1">
        <v>43164</v>
      </c>
      <c r="H1341" s="1">
        <v>43152</v>
      </c>
      <c r="I1341">
        <v>6</v>
      </c>
      <c r="K1341" t="s">
        <v>6743</v>
      </c>
      <c r="L1341" t="s">
        <v>91</v>
      </c>
      <c r="M1341" t="s">
        <v>6744</v>
      </c>
      <c r="N1341" t="s">
        <v>6745</v>
      </c>
      <c r="O1341" t="s">
        <v>6746</v>
      </c>
      <c r="P1341" t="s">
        <v>18</v>
      </c>
    </row>
    <row r="1342" spans="1:16" x14ac:dyDescent="0.35">
      <c r="A1342">
        <v>5296133</v>
      </c>
      <c r="B1342" t="s">
        <v>6747</v>
      </c>
      <c r="C1342" t="str">
        <f>"9781522547570"</f>
        <v>9781522547570</v>
      </c>
      <c r="D1342" t="str">
        <f>"9781522547587"</f>
        <v>9781522547587</v>
      </c>
      <c r="E1342" t="s">
        <v>138</v>
      </c>
      <c r="F1342" t="s">
        <v>1769</v>
      </c>
      <c r="G1342" s="1">
        <v>43161</v>
      </c>
      <c r="H1342" s="1">
        <v>43148</v>
      </c>
      <c r="K1342" t="s">
        <v>6748</v>
      </c>
      <c r="L1342" t="s">
        <v>3341</v>
      </c>
      <c r="M1342" t="s">
        <v>6749</v>
      </c>
      <c r="N1342">
        <v>636.00688000000002</v>
      </c>
      <c r="O1342" t="s">
        <v>6750</v>
      </c>
      <c r="P1342" t="s">
        <v>18</v>
      </c>
    </row>
    <row r="1343" spans="1:16" x14ac:dyDescent="0.35">
      <c r="A1343">
        <v>5257723</v>
      </c>
      <c r="B1343" t="s">
        <v>6751</v>
      </c>
      <c r="C1343" t="str">
        <f>"9780309468695"</f>
        <v>9780309468695</v>
      </c>
      <c r="D1343" t="str">
        <f>"9780309468701"</f>
        <v>9780309468701</v>
      </c>
      <c r="E1343" t="s">
        <v>531</v>
      </c>
      <c r="F1343" t="s">
        <v>531</v>
      </c>
      <c r="G1343" s="1">
        <v>43160</v>
      </c>
      <c r="H1343" s="1">
        <v>43136</v>
      </c>
      <c r="I1343">
        <v>1</v>
      </c>
      <c r="K1343" t="s">
        <v>6752</v>
      </c>
      <c r="L1343" t="s">
        <v>513</v>
      </c>
      <c r="N1343" t="s">
        <v>6753</v>
      </c>
      <c r="P1343" t="s">
        <v>18</v>
      </c>
    </row>
    <row r="1344" spans="1:16" x14ac:dyDescent="0.35">
      <c r="A1344">
        <v>5287916</v>
      </c>
      <c r="B1344" t="s">
        <v>6754</v>
      </c>
      <c r="C1344" t="str">
        <f>"9781522539520"</f>
        <v>9781522539520</v>
      </c>
      <c r="D1344" t="str">
        <f>"9781522539537"</f>
        <v>9781522539537</v>
      </c>
      <c r="E1344" t="s">
        <v>138</v>
      </c>
      <c r="F1344" t="s">
        <v>1769</v>
      </c>
      <c r="G1344" s="1">
        <v>43159</v>
      </c>
      <c r="H1344" s="1">
        <v>43144</v>
      </c>
      <c r="K1344" t="s">
        <v>6755</v>
      </c>
      <c r="L1344" t="s">
        <v>89</v>
      </c>
      <c r="M1344" t="s">
        <v>6756</v>
      </c>
      <c r="N1344" t="s">
        <v>6757</v>
      </c>
      <c r="O1344" t="s">
        <v>6758</v>
      </c>
      <c r="P1344" t="s">
        <v>18</v>
      </c>
    </row>
    <row r="1345" spans="1:16" x14ac:dyDescent="0.35">
      <c r="A1345">
        <v>5231112</v>
      </c>
      <c r="B1345" t="s">
        <v>6759</v>
      </c>
      <c r="C1345" t="str">
        <f>"9780749478032"</f>
        <v>9780749478032</v>
      </c>
      <c r="D1345" t="str">
        <f>"9780749478049"</f>
        <v>9780749478049</v>
      </c>
      <c r="E1345" t="s">
        <v>215</v>
      </c>
      <c r="F1345" t="s">
        <v>215</v>
      </c>
      <c r="G1345" s="1">
        <v>43158</v>
      </c>
      <c r="H1345" s="1">
        <v>43121</v>
      </c>
      <c r="I1345">
        <v>1</v>
      </c>
      <c r="K1345" t="s">
        <v>6760</v>
      </c>
      <c r="L1345" t="s">
        <v>36</v>
      </c>
      <c r="M1345" t="s">
        <v>6761</v>
      </c>
      <c r="N1345">
        <v>355.411</v>
      </c>
      <c r="O1345" t="s">
        <v>6762</v>
      </c>
      <c r="P1345" t="s">
        <v>18</v>
      </c>
    </row>
    <row r="1346" spans="1:16" x14ac:dyDescent="0.35">
      <c r="A1346">
        <v>5261489</v>
      </c>
      <c r="B1346" t="s">
        <v>6763</v>
      </c>
      <c r="C1346" t="str">
        <f>"9783035710960"</f>
        <v>9783035710960</v>
      </c>
      <c r="D1346" t="str">
        <f>"9783035730968"</f>
        <v>9783035730968</v>
      </c>
      <c r="E1346" t="s">
        <v>1649</v>
      </c>
      <c r="F1346" t="s">
        <v>1649</v>
      </c>
      <c r="G1346" s="1">
        <v>43153</v>
      </c>
      <c r="H1346" s="1">
        <v>43137</v>
      </c>
      <c r="I1346">
        <v>1</v>
      </c>
      <c r="J1346" t="s">
        <v>1671</v>
      </c>
      <c r="K1346" t="s">
        <v>6764</v>
      </c>
      <c r="L1346" t="s">
        <v>493</v>
      </c>
      <c r="P1346" t="s">
        <v>18</v>
      </c>
    </row>
    <row r="1347" spans="1:16" x14ac:dyDescent="0.35">
      <c r="A1347">
        <v>5303035</v>
      </c>
      <c r="B1347" t="s">
        <v>6765</v>
      </c>
      <c r="C1347" t="str">
        <f>"9780128095201"</f>
        <v>9780128095201</v>
      </c>
      <c r="D1347" t="str">
        <f>"9780128097212"</f>
        <v>9780128097212</v>
      </c>
      <c r="E1347" t="s">
        <v>190</v>
      </c>
      <c r="F1347" t="s">
        <v>191</v>
      </c>
      <c r="G1347" s="1">
        <v>43152</v>
      </c>
      <c r="H1347" s="1">
        <v>43168</v>
      </c>
      <c r="K1347" t="s">
        <v>6766</v>
      </c>
      <c r="L1347" t="s">
        <v>229</v>
      </c>
      <c r="M1347" t="s">
        <v>6767</v>
      </c>
      <c r="N1347">
        <v>338.14</v>
      </c>
      <c r="O1347" t="s">
        <v>6768</v>
      </c>
      <c r="P1347" t="s">
        <v>18</v>
      </c>
    </row>
    <row r="1348" spans="1:16" x14ac:dyDescent="0.35">
      <c r="A1348">
        <v>5303036</v>
      </c>
      <c r="B1348" t="s">
        <v>6769</v>
      </c>
      <c r="C1348" t="str">
        <f>"9780128104996"</f>
        <v>9780128104996</v>
      </c>
      <c r="D1348" t="str">
        <f>"9780128105252"</f>
        <v>9780128105252</v>
      </c>
      <c r="E1348" t="s">
        <v>190</v>
      </c>
      <c r="F1348" t="s">
        <v>191</v>
      </c>
      <c r="G1348" s="1">
        <v>43152</v>
      </c>
      <c r="H1348" s="1">
        <v>43168</v>
      </c>
      <c r="K1348" t="s">
        <v>6770</v>
      </c>
      <c r="L1348" t="s">
        <v>113</v>
      </c>
      <c r="M1348" t="s">
        <v>6771</v>
      </c>
      <c r="N1348">
        <v>628.16200000000003</v>
      </c>
      <c r="O1348" t="s">
        <v>6772</v>
      </c>
      <c r="P1348" t="s">
        <v>18</v>
      </c>
    </row>
    <row r="1349" spans="1:16" x14ac:dyDescent="0.35">
      <c r="A1349">
        <v>5231054</v>
      </c>
      <c r="B1349" t="s">
        <v>6773</v>
      </c>
      <c r="C1349" t="str">
        <f>"9781538110683"</f>
        <v>9781538110683</v>
      </c>
      <c r="D1349" t="str">
        <f>"9781538110706"</f>
        <v>9781538110706</v>
      </c>
      <c r="E1349" t="s">
        <v>442</v>
      </c>
      <c r="F1349" t="s">
        <v>442</v>
      </c>
      <c r="G1349" s="1">
        <v>43150</v>
      </c>
      <c r="H1349" s="1">
        <v>43121</v>
      </c>
      <c r="K1349" t="s">
        <v>6774</v>
      </c>
      <c r="L1349" t="s">
        <v>37</v>
      </c>
      <c r="M1349" t="s">
        <v>6775</v>
      </c>
      <c r="N1349">
        <v>261.88</v>
      </c>
      <c r="O1349" t="s">
        <v>6776</v>
      </c>
      <c r="P1349" t="s">
        <v>18</v>
      </c>
    </row>
    <row r="1350" spans="1:16" x14ac:dyDescent="0.35">
      <c r="A1350">
        <v>5291704</v>
      </c>
      <c r="B1350" t="s">
        <v>6777</v>
      </c>
      <c r="C1350" t="str">
        <f>"9781785333903"</f>
        <v>9781785333903</v>
      </c>
      <c r="D1350" t="str">
        <f>"9781785333910"</f>
        <v>9781785333910</v>
      </c>
      <c r="E1350" t="s">
        <v>447</v>
      </c>
      <c r="F1350" t="s">
        <v>447</v>
      </c>
      <c r="G1350" s="1">
        <v>43150</v>
      </c>
      <c r="H1350" s="1">
        <v>43146</v>
      </c>
      <c r="I1350">
        <v>1</v>
      </c>
      <c r="J1350" t="s">
        <v>4594</v>
      </c>
      <c r="K1350" t="s">
        <v>6778</v>
      </c>
      <c r="L1350" t="s">
        <v>39</v>
      </c>
      <c r="M1350" t="s">
        <v>6779</v>
      </c>
      <c r="N1350">
        <v>333.70979999999997</v>
      </c>
      <c r="O1350" t="s">
        <v>6780</v>
      </c>
      <c r="P1350" t="s">
        <v>18</v>
      </c>
    </row>
    <row r="1351" spans="1:16" x14ac:dyDescent="0.35">
      <c r="A1351">
        <v>5294194</v>
      </c>
      <c r="B1351" t="s">
        <v>6781</v>
      </c>
      <c r="C1351" t="str">
        <f>"9780128121504"</f>
        <v>9780128121504</v>
      </c>
      <c r="D1351" t="str">
        <f>"9780128123249"</f>
        <v>9780128123249</v>
      </c>
      <c r="E1351" t="s">
        <v>190</v>
      </c>
      <c r="F1351" t="s">
        <v>282</v>
      </c>
      <c r="G1351" s="1">
        <v>43147</v>
      </c>
      <c r="H1351" s="1">
        <v>43147</v>
      </c>
      <c r="K1351" t="s">
        <v>6782</v>
      </c>
      <c r="L1351" t="s">
        <v>38</v>
      </c>
      <c r="M1351" t="s">
        <v>6783</v>
      </c>
      <c r="N1351">
        <v>307.11599999999999</v>
      </c>
      <c r="O1351" t="s">
        <v>6784</v>
      </c>
      <c r="P1351" t="s">
        <v>18</v>
      </c>
    </row>
    <row r="1352" spans="1:16" x14ac:dyDescent="0.35">
      <c r="A1352">
        <v>5231125</v>
      </c>
      <c r="B1352" t="s">
        <v>6785</v>
      </c>
      <c r="C1352" t="str">
        <f>"9783035712407"</f>
        <v>9783035712407</v>
      </c>
      <c r="D1352" t="str">
        <f>"9783035732405"</f>
        <v>9783035732405</v>
      </c>
      <c r="E1352" t="s">
        <v>1649</v>
      </c>
      <c r="F1352" t="s">
        <v>1649</v>
      </c>
      <c r="G1352" s="1">
        <v>43146</v>
      </c>
      <c r="H1352" s="1">
        <v>43121</v>
      </c>
      <c r="I1352">
        <v>1</v>
      </c>
      <c r="J1352" t="s">
        <v>1671</v>
      </c>
      <c r="K1352" t="s">
        <v>6786</v>
      </c>
      <c r="L1352" t="s">
        <v>6787</v>
      </c>
      <c r="P1352" t="s">
        <v>18</v>
      </c>
    </row>
    <row r="1353" spans="1:16" x14ac:dyDescent="0.35">
      <c r="A1353">
        <v>5287273</v>
      </c>
      <c r="B1353" t="s">
        <v>6788</v>
      </c>
      <c r="C1353" t="str">
        <f>"9780081007082"</f>
        <v>9780081007082</v>
      </c>
      <c r="D1353" t="str">
        <f>"9780081007136"</f>
        <v>9780081007136</v>
      </c>
      <c r="E1353" t="s">
        <v>190</v>
      </c>
      <c r="F1353" t="s">
        <v>191</v>
      </c>
      <c r="G1353" s="1">
        <v>43145</v>
      </c>
      <c r="H1353" s="1">
        <v>43143</v>
      </c>
      <c r="I1353">
        <v>3</v>
      </c>
      <c r="K1353" t="s">
        <v>6789</v>
      </c>
      <c r="L1353" t="s">
        <v>6790</v>
      </c>
      <c r="M1353" t="s">
        <v>6791</v>
      </c>
      <c r="N1353" t="s">
        <v>6792</v>
      </c>
      <c r="O1353" t="s">
        <v>6793</v>
      </c>
      <c r="P1353" t="s">
        <v>18</v>
      </c>
    </row>
    <row r="1354" spans="1:16" x14ac:dyDescent="0.35">
      <c r="A1354">
        <v>5288451</v>
      </c>
      <c r="B1354" t="s">
        <v>6794</v>
      </c>
      <c r="C1354" t="str">
        <f>"9780128129593"</f>
        <v>9780128129593</v>
      </c>
      <c r="D1354" t="str">
        <f>"9780128132173"</f>
        <v>9780128132173</v>
      </c>
      <c r="E1354" t="s">
        <v>190</v>
      </c>
      <c r="F1354" t="s">
        <v>190</v>
      </c>
      <c r="G1354" s="1">
        <v>43145</v>
      </c>
      <c r="H1354" s="1">
        <v>43145</v>
      </c>
      <c r="K1354" t="s">
        <v>6795</v>
      </c>
      <c r="L1354" t="s">
        <v>115</v>
      </c>
      <c r="M1354" t="s">
        <v>6796</v>
      </c>
      <c r="N1354">
        <v>621.04200000000003</v>
      </c>
      <c r="O1354" t="s">
        <v>6797</v>
      </c>
      <c r="P1354" t="s">
        <v>18</v>
      </c>
    </row>
    <row r="1355" spans="1:16" x14ac:dyDescent="0.35">
      <c r="A1355">
        <v>5568649</v>
      </c>
      <c r="B1355" t="s">
        <v>6798</v>
      </c>
      <c r="C1355" t="str">
        <f>"9781527505957"</f>
        <v>9781527505957</v>
      </c>
      <c r="D1355" t="str">
        <f>"9781527520455"</f>
        <v>9781527520455</v>
      </c>
      <c r="E1355" t="s">
        <v>1662</v>
      </c>
      <c r="F1355" t="s">
        <v>1662</v>
      </c>
      <c r="G1355" s="1">
        <v>43143</v>
      </c>
      <c r="H1355" s="1">
        <v>43401</v>
      </c>
      <c r="K1355" t="s">
        <v>6799</v>
      </c>
      <c r="L1355" t="s">
        <v>257</v>
      </c>
      <c r="M1355" t="s">
        <v>6800</v>
      </c>
      <c r="N1355">
        <v>304.2</v>
      </c>
      <c r="O1355" t="s">
        <v>6801</v>
      </c>
      <c r="P1355" t="s">
        <v>18</v>
      </c>
    </row>
    <row r="1356" spans="1:16" x14ac:dyDescent="0.35">
      <c r="A1356">
        <v>5287275</v>
      </c>
      <c r="B1356" t="s">
        <v>6802</v>
      </c>
      <c r="C1356" t="str">
        <f>"9780444638571"</f>
        <v>9780444638571</v>
      </c>
      <c r="D1356" t="str">
        <f>"9780444640093"</f>
        <v>9780444640093</v>
      </c>
      <c r="E1356" t="s">
        <v>1699</v>
      </c>
      <c r="F1356" t="s">
        <v>1699</v>
      </c>
      <c r="G1356" s="1">
        <v>43141</v>
      </c>
      <c r="H1356" s="1">
        <v>43143</v>
      </c>
      <c r="J1356" t="s">
        <v>291</v>
      </c>
      <c r="K1356" t="s">
        <v>6803</v>
      </c>
      <c r="L1356" t="s">
        <v>6804</v>
      </c>
      <c r="M1356" t="s">
        <v>6805</v>
      </c>
      <c r="N1356">
        <v>628.4</v>
      </c>
      <c r="O1356" t="s">
        <v>6806</v>
      </c>
      <c r="P1356" t="s">
        <v>18</v>
      </c>
    </row>
    <row r="1357" spans="1:16" x14ac:dyDescent="0.35">
      <c r="A1357">
        <v>5247007</v>
      </c>
      <c r="B1357" t="s">
        <v>6807</v>
      </c>
      <c r="C1357" t="str">
        <f>"9781522532477"</f>
        <v>9781522532477</v>
      </c>
      <c r="D1357" t="str">
        <f>"9781522532484"</f>
        <v>9781522532484</v>
      </c>
      <c r="E1357" t="s">
        <v>138</v>
      </c>
      <c r="F1357" t="s">
        <v>1789</v>
      </c>
      <c r="G1357" s="1">
        <v>43140</v>
      </c>
      <c r="H1357" s="1">
        <v>43127</v>
      </c>
      <c r="K1357" t="s">
        <v>6808</v>
      </c>
      <c r="L1357" t="s">
        <v>41</v>
      </c>
      <c r="M1357" t="s">
        <v>6809</v>
      </c>
      <c r="N1357">
        <v>338.92709669999999</v>
      </c>
      <c r="P1357" t="s">
        <v>18</v>
      </c>
    </row>
    <row r="1358" spans="1:16" x14ac:dyDescent="0.35">
      <c r="A1358">
        <v>5255517</v>
      </c>
      <c r="B1358" t="s">
        <v>6810</v>
      </c>
      <c r="C1358" t="str">
        <f>"9781440843648"</f>
        <v>9781440843648</v>
      </c>
      <c r="D1358" t="str">
        <f>"9781440843655"</f>
        <v>9781440843655</v>
      </c>
      <c r="E1358" t="s">
        <v>440</v>
      </c>
      <c r="F1358" t="s">
        <v>6811</v>
      </c>
      <c r="G1358" s="1">
        <v>43139</v>
      </c>
      <c r="H1358" s="1">
        <v>43133</v>
      </c>
      <c r="K1358" t="s">
        <v>6812</v>
      </c>
      <c r="L1358" t="s">
        <v>6813</v>
      </c>
      <c r="P1358" t="s">
        <v>18</v>
      </c>
    </row>
    <row r="1359" spans="1:16" x14ac:dyDescent="0.35">
      <c r="A1359">
        <v>5215285</v>
      </c>
      <c r="B1359" t="s">
        <v>6814</v>
      </c>
      <c r="C1359" t="str">
        <f>"9781522531371"</f>
        <v>9781522531371</v>
      </c>
      <c r="D1359" t="str">
        <f>"9781522531388"</f>
        <v>9781522531388</v>
      </c>
      <c r="E1359" t="s">
        <v>138</v>
      </c>
      <c r="F1359" t="s">
        <v>1789</v>
      </c>
      <c r="G1359" s="1">
        <v>43133</v>
      </c>
      <c r="H1359" s="1">
        <v>43107</v>
      </c>
      <c r="K1359" t="s">
        <v>6815</v>
      </c>
      <c r="L1359" t="s">
        <v>6816</v>
      </c>
      <c r="M1359" t="s">
        <v>6817</v>
      </c>
      <c r="N1359" t="s">
        <v>6818</v>
      </c>
      <c r="O1359" t="s">
        <v>6819</v>
      </c>
      <c r="P1359" t="s">
        <v>18</v>
      </c>
    </row>
    <row r="1360" spans="1:16" x14ac:dyDescent="0.35">
      <c r="A1360">
        <v>5219304</v>
      </c>
      <c r="B1360" t="s">
        <v>6820</v>
      </c>
      <c r="C1360" t="str">
        <f>"9781522550174"</f>
        <v>9781522550174</v>
      </c>
      <c r="D1360" t="str">
        <f>"9781522550181"</f>
        <v>9781522550181</v>
      </c>
      <c r="E1360" t="s">
        <v>138</v>
      </c>
      <c r="F1360" t="s">
        <v>1769</v>
      </c>
      <c r="G1360" s="1">
        <v>43133</v>
      </c>
      <c r="H1360" s="1">
        <v>43117</v>
      </c>
      <c r="K1360" t="s">
        <v>231</v>
      </c>
      <c r="L1360" t="s">
        <v>193</v>
      </c>
      <c r="M1360" t="s">
        <v>6821</v>
      </c>
      <c r="N1360" t="s">
        <v>524</v>
      </c>
      <c r="O1360" t="s">
        <v>6822</v>
      </c>
      <c r="P1360" t="s">
        <v>18</v>
      </c>
    </row>
    <row r="1361" spans="1:16" x14ac:dyDescent="0.35">
      <c r="A1361">
        <v>5750355</v>
      </c>
      <c r="B1361" t="s">
        <v>6823</v>
      </c>
      <c r="C1361" t="str">
        <f>"9781610918091"</f>
        <v>9781610918091</v>
      </c>
      <c r="D1361" t="str">
        <f>"9781610918114"</f>
        <v>9781610918114</v>
      </c>
      <c r="E1361" t="s">
        <v>2154</v>
      </c>
      <c r="F1361" t="s">
        <v>2154</v>
      </c>
      <c r="G1361" s="1">
        <v>43132</v>
      </c>
      <c r="H1361" s="1">
        <v>43568</v>
      </c>
      <c r="I1361">
        <v>3</v>
      </c>
      <c r="K1361" t="s">
        <v>6824</v>
      </c>
      <c r="L1361" t="s">
        <v>6825</v>
      </c>
      <c r="M1361" t="s">
        <v>6826</v>
      </c>
      <c r="N1361">
        <v>712.01</v>
      </c>
      <c r="P1361" t="s">
        <v>18</v>
      </c>
    </row>
    <row r="1362" spans="1:16" x14ac:dyDescent="0.35">
      <c r="A1362">
        <v>5231403</v>
      </c>
      <c r="B1362" t="s">
        <v>6827</v>
      </c>
      <c r="C1362" t="str">
        <f>"9780128131022"</f>
        <v>9780128131022</v>
      </c>
      <c r="D1362" t="str">
        <f>"9780128131039"</f>
        <v>9780128131039</v>
      </c>
      <c r="E1362" t="s">
        <v>190</v>
      </c>
      <c r="F1362" t="s">
        <v>191</v>
      </c>
      <c r="G1362" s="1">
        <v>43130</v>
      </c>
      <c r="H1362" s="1">
        <v>43122</v>
      </c>
      <c r="K1362" t="s">
        <v>6828</v>
      </c>
      <c r="L1362" t="s">
        <v>124</v>
      </c>
      <c r="M1362" t="s">
        <v>6829</v>
      </c>
      <c r="N1362">
        <v>616.20047099999999</v>
      </c>
      <c r="O1362" t="s">
        <v>6830</v>
      </c>
      <c r="P1362" t="s">
        <v>18</v>
      </c>
    </row>
    <row r="1363" spans="1:16" x14ac:dyDescent="0.35">
      <c r="A1363">
        <v>5233937</v>
      </c>
      <c r="B1363" t="s">
        <v>6831</v>
      </c>
      <c r="C1363" t="str">
        <f>"9781786435712"</f>
        <v>9781786435712</v>
      </c>
      <c r="D1363" t="str">
        <f>"9781786435729"</f>
        <v>9781786435729</v>
      </c>
      <c r="E1363" t="s">
        <v>2080</v>
      </c>
      <c r="F1363" t="s">
        <v>2080</v>
      </c>
      <c r="G1363" s="1">
        <v>43126</v>
      </c>
      <c r="H1363" s="1">
        <v>43125</v>
      </c>
      <c r="I1363">
        <v>1</v>
      </c>
      <c r="K1363" t="s">
        <v>6832</v>
      </c>
      <c r="L1363" t="s">
        <v>28</v>
      </c>
      <c r="N1363" t="s">
        <v>5141</v>
      </c>
      <c r="P1363" t="s">
        <v>18</v>
      </c>
    </row>
    <row r="1364" spans="1:16" x14ac:dyDescent="0.35">
      <c r="A1364">
        <v>5248395</v>
      </c>
      <c r="B1364" t="s">
        <v>6833</v>
      </c>
      <c r="C1364" t="str">
        <f>"9780081021620"</f>
        <v>9780081021620</v>
      </c>
      <c r="D1364" t="str">
        <f>"9780081022146"</f>
        <v>9780081022146</v>
      </c>
      <c r="E1364" t="s">
        <v>190</v>
      </c>
      <c r="F1364" t="s">
        <v>280</v>
      </c>
      <c r="G1364" s="1">
        <v>43126</v>
      </c>
      <c r="H1364" s="1">
        <v>43130</v>
      </c>
      <c r="K1364" t="s">
        <v>2452</v>
      </c>
      <c r="L1364" t="s">
        <v>118</v>
      </c>
      <c r="M1364" t="s">
        <v>6834</v>
      </c>
      <c r="N1364">
        <v>664.72280000000001</v>
      </c>
      <c r="P1364" t="s">
        <v>18</v>
      </c>
    </row>
    <row r="1365" spans="1:16" x14ac:dyDescent="0.35">
      <c r="A1365">
        <v>5351384</v>
      </c>
      <c r="B1365" t="s">
        <v>6835</v>
      </c>
      <c r="C1365" t="str">
        <f>"9781527505452"</f>
        <v>9781527505452</v>
      </c>
      <c r="D1365" t="str">
        <f>"9781527509443"</f>
        <v>9781527509443</v>
      </c>
      <c r="E1365" t="s">
        <v>1662</v>
      </c>
      <c r="F1365" t="s">
        <v>1662</v>
      </c>
      <c r="G1365" s="1">
        <v>43123</v>
      </c>
      <c r="H1365" s="1">
        <v>43211</v>
      </c>
      <c r="K1365" t="s">
        <v>6836</v>
      </c>
      <c r="L1365" t="s">
        <v>26</v>
      </c>
      <c r="M1365" t="s">
        <v>6837</v>
      </c>
      <c r="N1365">
        <v>338.09437000000003</v>
      </c>
      <c r="O1365" t="s">
        <v>6838</v>
      </c>
      <c r="P1365" t="s">
        <v>18</v>
      </c>
    </row>
    <row r="1366" spans="1:16" x14ac:dyDescent="0.35">
      <c r="A1366">
        <v>5205709</v>
      </c>
      <c r="B1366" t="s">
        <v>6839</v>
      </c>
      <c r="C1366" t="str">
        <f>"9780309466806"</f>
        <v>9780309466806</v>
      </c>
      <c r="D1366" t="str">
        <f>"9780309466813"</f>
        <v>9780309466813</v>
      </c>
      <c r="E1366" t="s">
        <v>531</v>
      </c>
      <c r="F1366" t="s">
        <v>531</v>
      </c>
      <c r="G1366" s="1">
        <v>43120</v>
      </c>
      <c r="H1366" s="1">
        <v>43092</v>
      </c>
      <c r="I1366">
        <v>1</v>
      </c>
      <c r="K1366" t="s">
        <v>6840</v>
      </c>
      <c r="L1366" t="s">
        <v>328</v>
      </c>
      <c r="N1366">
        <v>551.46</v>
      </c>
      <c r="P1366" t="s">
        <v>18</v>
      </c>
    </row>
    <row r="1367" spans="1:16" x14ac:dyDescent="0.35">
      <c r="A1367">
        <v>5231534</v>
      </c>
      <c r="B1367" t="s">
        <v>6841</v>
      </c>
      <c r="C1367" t="str">
        <f>"9780128096420"</f>
        <v>9780128096420</v>
      </c>
      <c r="D1367" t="str">
        <f>"9780128096451"</f>
        <v>9780128096451</v>
      </c>
      <c r="E1367" t="s">
        <v>190</v>
      </c>
      <c r="F1367" t="s">
        <v>191</v>
      </c>
      <c r="G1367" s="1">
        <v>43120</v>
      </c>
      <c r="H1367" s="1">
        <v>43123</v>
      </c>
      <c r="K1367" t="s">
        <v>6842</v>
      </c>
      <c r="L1367" t="s">
        <v>5453</v>
      </c>
      <c r="M1367" t="s">
        <v>6843</v>
      </c>
      <c r="N1367">
        <v>363.73840000000001</v>
      </c>
      <c r="O1367" t="s">
        <v>2648</v>
      </c>
      <c r="P1367" t="s">
        <v>18</v>
      </c>
    </row>
    <row r="1368" spans="1:16" x14ac:dyDescent="0.35">
      <c r="A1368">
        <v>5313419</v>
      </c>
      <c r="B1368" t="s">
        <v>6844</v>
      </c>
      <c r="C1368" t="str">
        <f>"9781522538677"</f>
        <v>9781522538677</v>
      </c>
      <c r="D1368" t="str">
        <f>"9781522538684"</f>
        <v>9781522538684</v>
      </c>
      <c r="E1368" t="s">
        <v>138</v>
      </c>
      <c r="F1368" t="s">
        <v>1764</v>
      </c>
      <c r="G1368" s="1">
        <v>43119</v>
      </c>
      <c r="H1368" s="1">
        <v>43161</v>
      </c>
      <c r="K1368" t="s">
        <v>6845</v>
      </c>
      <c r="L1368" t="s">
        <v>142</v>
      </c>
      <c r="M1368" t="s">
        <v>6846</v>
      </c>
      <c r="N1368">
        <v>621.04200000000003</v>
      </c>
      <c r="O1368" t="s">
        <v>6847</v>
      </c>
      <c r="P1368" t="s">
        <v>18</v>
      </c>
    </row>
    <row r="1369" spans="1:16" x14ac:dyDescent="0.35">
      <c r="A1369">
        <v>5231399</v>
      </c>
      <c r="B1369" t="s">
        <v>6848</v>
      </c>
      <c r="C1369" t="str">
        <f>"9781442280458"</f>
        <v>9781442280458</v>
      </c>
      <c r="D1369" t="str">
        <f>"9781442280465"</f>
        <v>9781442280465</v>
      </c>
      <c r="E1369" t="s">
        <v>6849</v>
      </c>
      <c r="F1369" t="s">
        <v>6849</v>
      </c>
      <c r="G1369" s="1">
        <v>43116</v>
      </c>
      <c r="H1369" s="1">
        <v>43122</v>
      </c>
      <c r="J1369" t="s">
        <v>6850</v>
      </c>
      <c r="K1369" t="s">
        <v>6851</v>
      </c>
      <c r="L1369" t="s">
        <v>41</v>
      </c>
      <c r="M1369" t="s">
        <v>6852</v>
      </c>
      <c r="N1369">
        <v>338.92709182200002</v>
      </c>
      <c r="O1369" t="s">
        <v>6853</v>
      </c>
      <c r="P1369" t="s">
        <v>18</v>
      </c>
    </row>
    <row r="1370" spans="1:16" x14ac:dyDescent="0.35">
      <c r="A1370">
        <v>5212765</v>
      </c>
      <c r="B1370" t="s">
        <v>6854</v>
      </c>
      <c r="C1370" t="str">
        <f>"9780128092453"</f>
        <v>9780128092453</v>
      </c>
      <c r="D1370" t="str">
        <f>"9780128095003"</f>
        <v>9780128095003</v>
      </c>
      <c r="E1370" t="s">
        <v>190</v>
      </c>
      <c r="F1370" t="s">
        <v>282</v>
      </c>
      <c r="G1370" s="1">
        <v>43104</v>
      </c>
      <c r="H1370" s="1">
        <v>43104</v>
      </c>
      <c r="K1370" t="s">
        <v>6855</v>
      </c>
      <c r="L1370" t="s">
        <v>163</v>
      </c>
      <c r="M1370" t="s">
        <v>6856</v>
      </c>
      <c r="N1370">
        <v>363.73869999999999</v>
      </c>
      <c r="O1370" t="s">
        <v>6857</v>
      </c>
      <c r="P1370" t="s">
        <v>18</v>
      </c>
    </row>
    <row r="1371" spans="1:16" x14ac:dyDescent="0.35">
      <c r="A1371">
        <v>5212774</v>
      </c>
      <c r="B1371" t="s">
        <v>6858</v>
      </c>
      <c r="C1371" t="str">
        <f>"9780128129869"</f>
        <v>9780128129869</v>
      </c>
      <c r="D1371" t="str">
        <f>"9780128129876"</f>
        <v>9780128129876</v>
      </c>
      <c r="E1371" t="s">
        <v>1699</v>
      </c>
      <c r="F1371" t="s">
        <v>1699</v>
      </c>
      <c r="G1371" s="1">
        <v>43104</v>
      </c>
      <c r="H1371" s="1">
        <v>43124</v>
      </c>
      <c r="K1371" t="s">
        <v>6859</v>
      </c>
      <c r="L1371" t="s">
        <v>6860</v>
      </c>
      <c r="M1371" t="s">
        <v>6861</v>
      </c>
      <c r="N1371">
        <v>622.02859999999998</v>
      </c>
      <c r="O1371" t="s">
        <v>6862</v>
      </c>
      <c r="P1371" t="s">
        <v>18</v>
      </c>
    </row>
    <row r="1372" spans="1:16" x14ac:dyDescent="0.35">
      <c r="A1372">
        <v>5212775</v>
      </c>
      <c r="B1372" t="s">
        <v>6863</v>
      </c>
      <c r="C1372" t="str">
        <f>"9780128129845"</f>
        <v>9780128129845</v>
      </c>
      <c r="D1372" t="str">
        <f>"9780128129852"</f>
        <v>9780128129852</v>
      </c>
      <c r="E1372" t="s">
        <v>190</v>
      </c>
      <c r="F1372" t="s">
        <v>282</v>
      </c>
      <c r="G1372" s="1">
        <v>43104</v>
      </c>
      <c r="H1372" s="1">
        <v>43104</v>
      </c>
      <c r="K1372" t="s">
        <v>6864</v>
      </c>
      <c r="L1372" t="s">
        <v>6865</v>
      </c>
      <c r="M1372" t="s">
        <v>6866</v>
      </c>
      <c r="N1372" t="s">
        <v>6867</v>
      </c>
      <c r="O1372" t="s">
        <v>6868</v>
      </c>
      <c r="P1372" t="s">
        <v>18</v>
      </c>
    </row>
    <row r="1373" spans="1:16" x14ac:dyDescent="0.35">
      <c r="A1373">
        <v>5212778</v>
      </c>
      <c r="B1373" t="s">
        <v>6869</v>
      </c>
      <c r="C1373" t="str">
        <f>"9780128129005"</f>
        <v>9780128129005</v>
      </c>
      <c r="D1373" t="str">
        <f>"9780128129012"</f>
        <v>9780128129012</v>
      </c>
      <c r="E1373" t="s">
        <v>190</v>
      </c>
      <c r="F1373" t="s">
        <v>191</v>
      </c>
      <c r="G1373" s="1">
        <v>43104</v>
      </c>
      <c r="H1373" s="1">
        <v>43104</v>
      </c>
      <c r="K1373" t="s">
        <v>6870</v>
      </c>
      <c r="L1373" t="s">
        <v>168</v>
      </c>
      <c r="M1373" t="s">
        <v>6871</v>
      </c>
      <c r="N1373">
        <v>633.20000000000005</v>
      </c>
      <c r="O1373" t="s">
        <v>6872</v>
      </c>
      <c r="P1373" t="s">
        <v>18</v>
      </c>
    </row>
    <row r="1374" spans="1:16" x14ac:dyDescent="0.35">
      <c r="A1374">
        <v>5213104</v>
      </c>
      <c r="B1374" t="s">
        <v>6873</v>
      </c>
      <c r="C1374" t="str">
        <f>"9780128131640"</f>
        <v>9780128131640</v>
      </c>
      <c r="D1374" t="str">
        <f>"9780128131657"</f>
        <v>9780128131657</v>
      </c>
      <c r="E1374" t="s">
        <v>190</v>
      </c>
      <c r="F1374" t="s">
        <v>191</v>
      </c>
      <c r="G1374" s="1">
        <v>43104</v>
      </c>
      <c r="H1374" s="1">
        <v>43105</v>
      </c>
      <c r="K1374" t="s">
        <v>6874</v>
      </c>
      <c r="L1374" t="s">
        <v>168</v>
      </c>
      <c r="M1374" t="s">
        <v>6875</v>
      </c>
      <c r="N1374">
        <v>631.70000000000005</v>
      </c>
      <c r="O1374" t="s">
        <v>6876</v>
      </c>
      <c r="P1374" t="s">
        <v>18</v>
      </c>
    </row>
    <row r="1375" spans="1:16" x14ac:dyDescent="0.35">
      <c r="A1375">
        <v>5211457</v>
      </c>
      <c r="B1375" t="s">
        <v>6877</v>
      </c>
      <c r="C1375" t="str">
        <f>"9780128130162"</f>
        <v>9780128130162</v>
      </c>
      <c r="D1375" t="str">
        <f>"9780128130179"</f>
        <v>9780128130179</v>
      </c>
      <c r="E1375" t="s">
        <v>190</v>
      </c>
      <c r="F1375" t="s">
        <v>191</v>
      </c>
      <c r="G1375" s="1">
        <v>43103</v>
      </c>
      <c r="H1375" s="1">
        <v>43103</v>
      </c>
      <c r="K1375" t="s">
        <v>6878</v>
      </c>
      <c r="L1375" t="s">
        <v>6879</v>
      </c>
      <c r="M1375" t="s">
        <v>6880</v>
      </c>
      <c r="N1375">
        <v>333.91409659999999</v>
      </c>
      <c r="O1375" t="s">
        <v>6881</v>
      </c>
      <c r="P1375" t="s">
        <v>18</v>
      </c>
    </row>
    <row r="1376" spans="1:16" x14ac:dyDescent="0.35">
      <c r="A1376">
        <v>5211459</v>
      </c>
      <c r="B1376" t="s">
        <v>6882</v>
      </c>
      <c r="C1376" t="str">
        <f>"9780128119358"</f>
        <v>9780128119358</v>
      </c>
      <c r="D1376" t="str">
        <f>"9780128119617"</f>
        <v>9780128119617</v>
      </c>
      <c r="E1376" t="s">
        <v>190</v>
      </c>
      <c r="F1376" t="s">
        <v>191</v>
      </c>
      <c r="G1376" s="1">
        <v>43103</v>
      </c>
      <c r="H1376" s="1">
        <v>43103</v>
      </c>
      <c r="K1376" t="s">
        <v>3060</v>
      </c>
      <c r="L1376" t="s">
        <v>334</v>
      </c>
      <c r="M1376" t="s">
        <v>6883</v>
      </c>
      <c r="N1376">
        <v>338.1</v>
      </c>
      <c r="O1376" t="s">
        <v>6884</v>
      </c>
      <c r="P1376" t="s">
        <v>18</v>
      </c>
    </row>
    <row r="1377" spans="1:16" x14ac:dyDescent="0.35">
      <c r="A1377">
        <v>5419463</v>
      </c>
      <c r="B1377" t="s">
        <v>6885</v>
      </c>
      <c r="C1377" t="str">
        <f>"9781598889703"</f>
        <v>9781598889703</v>
      </c>
      <c r="D1377" t="str">
        <f>"9781598889710"</f>
        <v>9781598889710</v>
      </c>
      <c r="E1377" t="s">
        <v>457</v>
      </c>
      <c r="F1377" t="s">
        <v>457</v>
      </c>
      <c r="G1377" s="1">
        <v>43102</v>
      </c>
      <c r="H1377" s="1">
        <v>43261</v>
      </c>
      <c r="I1377">
        <v>5</v>
      </c>
      <c r="K1377" t="s">
        <v>2651</v>
      </c>
      <c r="L1377" t="s">
        <v>113</v>
      </c>
      <c r="M1377" t="s">
        <v>6886</v>
      </c>
      <c r="N1377">
        <v>628.03</v>
      </c>
      <c r="O1377" t="s">
        <v>6887</v>
      </c>
      <c r="P1377" t="s">
        <v>18</v>
      </c>
    </row>
    <row r="1378" spans="1:16" x14ac:dyDescent="0.35">
      <c r="A1378">
        <v>5132003</v>
      </c>
      <c r="B1378" t="s">
        <v>6888</v>
      </c>
      <c r="C1378" t="str">
        <f>""</f>
        <v/>
      </c>
      <c r="D1378" t="str">
        <f>"9781522545507"</f>
        <v>9781522545507</v>
      </c>
      <c r="E1378" t="s">
        <v>138</v>
      </c>
      <c r="F1378" t="s">
        <v>138</v>
      </c>
      <c r="G1378" s="1">
        <v>43101</v>
      </c>
      <c r="H1378" s="1">
        <v>43049</v>
      </c>
      <c r="K1378" t="s">
        <v>2410</v>
      </c>
      <c r="L1378" t="s">
        <v>257</v>
      </c>
      <c r="M1378" t="s">
        <v>6889</v>
      </c>
      <c r="N1378">
        <v>304.2</v>
      </c>
      <c r="O1378" t="s">
        <v>6890</v>
      </c>
      <c r="P1378" t="s">
        <v>18</v>
      </c>
    </row>
    <row r="1379" spans="1:16" x14ac:dyDescent="0.35">
      <c r="A1379">
        <v>5334129</v>
      </c>
      <c r="B1379" t="s">
        <v>6891</v>
      </c>
      <c r="C1379" t="str">
        <f>""</f>
        <v/>
      </c>
      <c r="D1379" t="str">
        <f>"9781522546634"</f>
        <v>9781522546634</v>
      </c>
      <c r="E1379" t="s">
        <v>138</v>
      </c>
      <c r="F1379" t="s">
        <v>138</v>
      </c>
      <c r="G1379" s="1">
        <v>43101</v>
      </c>
      <c r="H1379" s="1">
        <v>43191</v>
      </c>
      <c r="K1379" t="s">
        <v>3292</v>
      </c>
      <c r="L1379" t="s">
        <v>41</v>
      </c>
      <c r="M1379" t="s">
        <v>6259</v>
      </c>
      <c r="N1379">
        <v>338.92700000000002</v>
      </c>
      <c r="O1379" t="s">
        <v>6892</v>
      </c>
      <c r="P1379" t="s">
        <v>18</v>
      </c>
    </row>
    <row r="1380" spans="1:16" x14ac:dyDescent="0.35">
      <c r="A1380">
        <v>5494597</v>
      </c>
      <c r="B1380" t="s">
        <v>6893</v>
      </c>
      <c r="C1380" t="str">
        <f>""</f>
        <v/>
      </c>
      <c r="D1380" t="str">
        <f>"9781522547198"</f>
        <v>9781522547198</v>
      </c>
      <c r="E1380" t="s">
        <v>138</v>
      </c>
      <c r="F1380" t="s">
        <v>138</v>
      </c>
      <c r="G1380" s="1">
        <v>43101</v>
      </c>
      <c r="H1380" s="1">
        <v>43331</v>
      </c>
      <c r="K1380" t="s">
        <v>4898</v>
      </c>
      <c r="L1380" t="s">
        <v>159</v>
      </c>
      <c r="M1380" t="s">
        <v>6496</v>
      </c>
      <c r="N1380">
        <v>174.4</v>
      </c>
      <c r="O1380" t="s">
        <v>4511</v>
      </c>
      <c r="P1380" t="s">
        <v>18</v>
      </c>
    </row>
    <row r="1381" spans="1:16" x14ac:dyDescent="0.35">
      <c r="A1381">
        <v>5199675</v>
      </c>
      <c r="B1381" t="s">
        <v>6894</v>
      </c>
      <c r="C1381" t="str">
        <f>"9781784710910"</f>
        <v>9781784710910</v>
      </c>
      <c r="D1381" t="str">
        <f>"9781784710927"</f>
        <v>9781784710927</v>
      </c>
      <c r="E1381" t="s">
        <v>2080</v>
      </c>
      <c r="F1381" t="s">
        <v>2080</v>
      </c>
      <c r="G1381" s="1">
        <v>43098</v>
      </c>
      <c r="H1381" s="1">
        <v>43088</v>
      </c>
      <c r="I1381">
        <v>1</v>
      </c>
      <c r="J1381" t="s">
        <v>2081</v>
      </c>
      <c r="K1381" t="s">
        <v>6895</v>
      </c>
      <c r="L1381" t="s">
        <v>28</v>
      </c>
      <c r="M1381" t="s">
        <v>6896</v>
      </c>
      <c r="N1381">
        <v>658.40807199999995</v>
      </c>
      <c r="O1381" t="s">
        <v>6897</v>
      </c>
      <c r="P1381" t="s">
        <v>18</v>
      </c>
    </row>
    <row r="1382" spans="1:16" x14ac:dyDescent="0.35">
      <c r="A1382">
        <v>5215543</v>
      </c>
      <c r="B1382" t="s">
        <v>6898</v>
      </c>
      <c r="C1382" t="str">
        <f>"9783736997103"</f>
        <v>9783736997103</v>
      </c>
      <c r="D1382" t="str">
        <f>"9783736987104"</f>
        <v>9783736987104</v>
      </c>
      <c r="E1382" t="s">
        <v>2357</v>
      </c>
      <c r="F1382" t="s">
        <v>2357</v>
      </c>
      <c r="G1382" s="1">
        <v>43098</v>
      </c>
      <c r="H1382" s="1">
        <v>43110</v>
      </c>
      <c r="I1382">
        <v>1</v>
      </c>
      <c r="K1382" t="s">
        <v>6899</v>
      </c>
      <c r="L1382" t="s">
        <v>168</v>
      </c>
      <c r="M1382" t="s">
        <v>6900</v>
      </c>
      <c r="N1382">
        <v>632.9</v>
      </c>
      <c r="O1382" t="s">
        <v>6901</v>
      </c>
      <c r="P1382" t="s">
        <v>315</v>
      </c>
    </row>
    <row r="1383" spans="1:16" x14ac:dyDescent="0.35">
      <c r="A1383">
        <v>5161252</v>
      </c>
      <c r="B1383" t="s">
        <v>6902</v>
      </c>
      <c r="C1383" t="str">
        <f>"9781522537731"</f>
        <v>9781522537731</v>
      </c>
      <c r="D1383" t="str">
        <f>"9781522537748"</f>
        <v>9781522537748</v>
      </c>
      <c r="E1383" t="s">
        <v>138</v>
      </c>
      <c r="F1383" t="s">
        <v>1769</v>
      </c>
      <c r="G1383" s="1">
        <v>43084</v>
      </c>
      <c r="H1383" s="1">
        <v>43063</v>
      </c>
      <c r="K1383" t="s">
        <v>2891</v>
      </c>
      <c r="L1383" t="s">
        <v>28</v>
      </c>
      <c r="M1383" t="s">
        <v>6903</v>
      </c>
      <c r="P1383" t="s">
        <v>18</v>
      </c>
    </row>
    <row r="1384" spans="1:16" x14ac:dyDescent="0.35">
      <c r="A1384">
        <v>5123250</v>
      </c>
      <c r="B1384" t="s">
        <v>6904</v>
      </c>
      <c r="C1384" t="str">
        <f>"9781522551157"</f>
        <v>9781522551157</v>
      </c>
      <c r="D1384" t="str">
        <f>"9781522551164"</f>
        <v>9781522551164</v>
      </c>
      <c r="E1384" t="s">
        <v>138</v>
      </c>
      <c r="F1384" t="s">
        <v>1769</v>
      </c>
      <c r="G1384" s="1">
        <v>43070</v>
      </c>
      <c r="H1384" s="1">
        <v>43043</v>
      </c>
      <c r="K1384" t="s">
        <v>6905</v>
      </c>
      <c r="L1384" t="s">
        <v>28</v>
      </c>
      <c r="M1384" t="s">
        <v>6906</v>
      </c>
      <c r="N1384" t="s">
        <v>230</v>
      </c>
      <c r="O1384" t="s">
        <v>6907</v>
      </c>
      <c r="P1384" t="s">
        <v>18</v>
      </c>
    </row>
    <row r="1385" spans="1:16" x14ac:dyDescent="0.35">
      <c r="A1385">
        <v>5144385</v>
      </c>
      <c r="B1385" t="s">
        <v>6908</v>
      </c>
      <c r="C1385" t="str">
        <f>"9781522531470"</f>
        <v>9781522531470</v>
      </c>
      <c r="D1385" t="str">
        <f>"9781522531487"</f>
        <v>9781522531487</v>
      </c>
      <c r="E1385" t="s">
        <v>138</v>
      </c>
      <c r="F1385" t="s">
        <v>1769</v>
      </c>
      <c r="G1385" s="1">
        <v>43070</v>
      </c>
      <c r="H1385" s="1">
        <v>43050</v>
      </c>
      <c r="K1385" t="s">
        <v>6909</v>
      </c>
      <c r="L1385" t="s">
        <v>89</v>
      </c>
      <c r="M1385" t="s">
        <v>6910</v>
      </c>
      <c r="N1385">
        <v>306.3</v>
      </c>
      <c r="O1385" t="s">
        <v>503</v>
      </c>
      <c r="P1385" t="s">
        <v>18</v>
      </c>
    </row>
    <row r="1386" spans="1:16" x14ac:dyDescent="0.35">
      <c r="A1386">
        <v>5217748</v>
      </c>
      <c r="B1386" t="s">
        <v>6911</v>
      </c>
      <c r="C1386" t="str">
        <f>"9781442237070"</f>
        <v>9781442237070</v>
      </c>
      <c r="D1386" t="str">
        <f>"9781442237087"</f>
        <v>9781442237087</v>
      </c>
      <c r="E1386" t="s">
        <v>443</v>
      </c>
      <c r="F1386" t="s">
        <v>443</v>
      </c>
      <c r="G1386" s="1">
        <v>43070</v>
      </c>
      <c r="H1386" s="1">
        <v>43114</v>
      </c>
      <c r="J1386" t="s">
        <v>6912</v>
      </c>
      <c r="K1386" t="s">
        <v>6913</v>
      </c>
      <c r="L1386" t="s">
        <v>39</v>
      </c>
      <c r="M1386" t="s">
        <v>6914</v>
      </c>
      <c r="N1386">
        <v>333.72097300000001</v>
      </c>
      <c r="O1386" t="s">
        <v>6915</v>
      </c>
      <c r="P1386" t="s">
        <v>18</v>
      </c>
    </row>
    <row r="1387" spans="1:16" x14ac:dyDescent="0.35">
      <c r="A1387">
        <v>5123247</v>
      </c>
      <c r="B1387" t="s">
        <v>6916</v>
      </c>
      <c r="C1387" t="str">
        <f>"9781522529125"</f>
        <v>9781522529125</v>
      </c>
      <c r="D1387" t="str">
        <f>"9781522529132"</f>
        <v>9781522529132</v>
      </c>
      <c r="E1387" t="s">
        <v>138</v>
      </c>
      <c r="F1387" t="s">
        <v>1769</v>
      </c>
      <c r="G1387" s="1">
        <v>43069</v>
      </c>
      <c r="H1387" s="1">
        <v>43043</v>
      </c>
      <c r="K1387" t="s">
        <v>6917</v>
      </c>
      <c r="L1387" t="s">
        <v>28</v>
      </c>
      <c r="M1387" t="s">
        <v>6918</v>
      </c>
      <c r="N1387" t="s">
        <v>6919</v>
      </c>
      <c r="O1387" t="s">
        <v>6920</v>
      </c>
      <c r="P1387" t="s">
        <v>18</v>
      </c>
    </row>
    <row r="1388" spans="1:16" x14ac:dyDescent="0.35">
      <c r="A1388">
        <v>5152837</v>
      </c>
      <c r="B1388" t="s">
        <v>6921</v>
      </c>
      <c r="C1388" t="str">
        <f>"9781522535379"</f>
        <v>9781522535379</v>
      </c>
      <c r="D1388" t="str">
        <f>"9781522535386"</f>
        <v>9781522535386</v>
      </c>
      <c r="E1388" t="s">
        <v>138</v>
      </c>
      <c r="F1388" t="s">
        <v>1764</v>
      </c>
      <c r="G1388" s="1">
        <v>43069</v>
      </c>
      <c r="H1388" s="1">
        <v>43060</v>
      </c>
      <c r="K1388" t="s">
        <v>6922</v>
      </c>
      <c r="L1388" t="s">
        <v>202</v>
      </c>
      <c r="M1388" t="s">
        <v>6923</v>
      </c>
      <c r="N1388">
        <v>333.72</v>
      </c>
      <c r="P1388" t="s">
        <v>18</v>
      </c>
    </row>
    <row r="1389" spans="1:16" x14ac:dyDescent="0.35">
      <c r="A1389">
        <v>5624984</v>
      </c>
      <c r="B1389" t="s">
        <v>6924</v>
      </c>
      <c r="C1389" t="str">
        <f>""</f>
        <v/>
      </c>
      <c r="D1389" t="str">
        <f>"9781780648446"</f>
        <v>9781780648446</v>
      </c>
      <c r="E1389" t="s">
        <v>333</v>
      </c>
      <c r="F1389" t="s">
        <v>333</v>
      </c>
      <c r="G1389" s="1">
        <v>43068</v>
      </c>
      <c r="H1389" s="1">
        <v>43457</v>
      </c>
      <c r="K1389" t="s">
        <v>6925</v>
      </c>
      <c r="L1389" t="s">
        <v>6926</v>
      </c>
      <c r="M1389" t="s">
        <v>6927</v>
      </c>
      <c r="N1389" t="s">
        <v>6928</v>
      </c>
      <c r="O1389" t="s">
        <v>6929</v>
      </c>
      <c r="P1389" t="s">
        <v>18</v>
      </c>
    </row>
    <row r="1390" spans="1:16" x14ac:dyDescent="0.35">
      <c r="A1390">
        <v>5161866</v>
      </c>
      <c r="B1390" t="s">
        <v>6930</v>
      </c>
      <c r="C1390" t="str">
        <f>"9780128093542"</f>
        <v>9780128093542</v>
      </c>
      <c r="D1390" t="str">
        <f>"9780128096079"</f>
        <v>9780128096079</v>
      </c>
      <c r="E1390" t="s">
        <v>190</v>
      </c>
      <c r="F1390" t="s">
        <v>191</v>
      </c>
      <c r="G1390" s="1">
        <v>43066</v>
      </c>
      <c r="H1390" s="1">
        <v>43064</v>
      </c>
      <c r="K1390" t="s">
        <v>6931</v>
      </c>
      <c r="L1390" t="s">
        <v>144</v>
      </c>
      <c r="M1390" t="s">
        <v>6932</v>
      </c>
      <c r="N1390">
        <v>577</v>
      </c>
      <c r="O1390" t="s">
        <v>6933</v>
      </c>
      <c r="P1390" t="s">
        <v>18</v>
      </c>
    </row>
    <row r="1391" spans="1:16" x14ac:dyDescent="0.35">
      <c r="A1391">
        <v>5162811</v>
      </c>
      <c r="B1391" t="s">
        <v>6934</v>
      </c>
      <c r="C1391" t="str">
        <f>"9780128139646"</f>
        <v>9780128139646</v>
      </c>
      <c r="D1391" t="str">
        <f>"9780128139653"</f>
        <v>9780128139653</v>
      </c>
      <c r="E1391" t="s">
        <v>190</v>
      </c>
      <c r="F1391" t="s">
        <v>282</v>
      </c>
      <c r="G1391" s="1">
        <v>43066</v>
      </c>
      <c r="H1391" s="1">
        <v>43067</v>
      </c>
      <c r="I1391">
        <v>2</v>
      </c>
      <c r="K1391" t="s">
        <v>2970</v>
      </c>
      <c r="L1391" t="s">
        <v>105</v>
      </c>
      <c r="M1391" t="s">
        <v>6935</v>
      </c>
      <c r="P1391" t="s">
        <v>18</v>
      </c>
    </row>
    <row r="1392" spans="1:16" x14ac:dyDescent="0.35">
      <c r="A1392">
        <v>5144380</v>
      </c>
      <c r="B1392" t="s">
        <v>6936</v>
      </c>
      <c r="C1392" t="str">
        <f>"9781522540915"</f>
        <v>9781522540915</v>
      </c>
      <c r="D1392" t="str">
        <f>"9781522540922"</f>
        <v>9781522540922</v>
      </c>
      <c r="E1392" t="s">
        <v>138</v>
      </c>
      <c r="F1392" t="s">
        <v>6635</v>
      </c>
      <c r="G1392" s="1">
        <v>43063</v>
      </c>
      <c r="H1392" s="1">
        <v>43050</v>
      </c>
      <c r="K1392" t="s">
        <v>6937</v>
      </c>
      <c r="L1392" t="s">
        <v>89</v>
      </c>
      <c r="M1392" t="s">
        <v>6938</v>
      </c>
      <c r="N1392" t="s">
        <v>100</v>
      </c>
      <c r="O1392" t="s">
        <v>6939</v>
      </c>
      <c r="P1392" t="s">
        <v>18</v>
      </c>
    </row>
    <row r="1393" spans="1:16" x14ac:dyDescent="0.35">
      <c r="A1393">
        <v>5163188</v>
      </c>
      <c r="B1393" t="s">
        <v>6940</v>
      </c>
      <c r="C1393" t="str">
        <f>"9781788110273"</f>
        <v>9781788110273</v>
      </c>
      <c r="D1393" t="str">
        <f>"9781788110280"</f>
        <v>9781788110280</v>
      </c>
      <c r="E1393" t="s">
        <v>2080</v>
      </c>
      <c r="F1393" t="s">
        <v>2080</v>
      </c>
      <c r="G1393" s="1">
        <v>43063</v>
      </c>
      <c r="H1393" s="1">
        <v>43067</v>
      </c>
      <c r="I1393">
        <v>1</v>
      </c>
      <c r="K1393" t="s">
        <v>6941</v>
      </c>
      <c r="L1393" t="s">
        <v>26</v>
      </c>
      <c r="N1393">
        <v>339.2</v>
      </c>
      <c r="P1393" t="s">
        <v>18</v>
      </c>
    </row>
    <row r="1394" spans="1:16" x14ac:dyDescent="0.35">
      <c r="A1394">
        <v>5149989</v>
      </c>
      <c r="B1394" t="s">
        <v>6942</v>
      </c>
      <c r="C1394" t="str">
        <f>"9780128024416"</f>
        <v>9780128024416</v>
      </c>
      <c r="D1394" t="str">
        <f>"9780128135082"</f>
        <v>9780128135082</v>
      </c>
      <c r="E1394" t="s">
        <v>190</v>
      </c>
      <c r="F1394" t="s">
        <v>191</v>
      </c>
      <c r="G1394" s="1">
        <v>43058</v>
      </c>
      <c r="H1394" s="1">
        <v>43056</v>
      </c>
      <c r="K1394" t="s">
        <v>6943</v>
      </c>
      <c r="L1394" t="s">
        <v>168</v>
      </c>
      <c r="M1394" t="s">
        <v>6944</v>
      </c>
      <c r="N1394" t="s">
        <v>6945</v>
      </c>
      <c r="O1394" t="s">
        <v>6946</v>
      </c>
      <c r="P1394" t="s">
        <v>18</v>
      </c>
    </row>
    <row r="1395" spans="1:16" x14ac:dyDescent="0.35">
      <c r="A1395">
        <v>5161238</v>
      </c>
      <c r="B1395" t="s">
        <v>6947</v>
      </c>
      <c r="C1395" t="str">
        <f>"9783736996618"</f>
        <v>9783736996618</v>
      </c>
      <c r="D1395" t="str">
        <f>"9783736986619"</f>
        <v>9783736986619</v>
      </c>
      <c r="E1395" t="s">
        <v>2357</v>
      </c>
      <c r="F1395" t="s">
        <v>2357</v>
      </c>
      <c r="G1395" s="1">
        <v>43056</v>
      </c>
      <c r="H1395" s="1">
        <v>43063</v>
      </c>
      <c r="I1395">
        <v>1</v>
      </c>
      <c r="K1395" t="s">
        <v>6948</v>
      </c>
      <c r="L1395" t="s">
        <v>6949</v>
      </c>
      <c r="M1395" t="s">
        <v>6950</v>
      </c>
      <c r="N1395">
        <v>546.22</v>
      </c>
      <c r="O1395" t="s">
        <v>6951</v>
      </c>
      <c r="P1395" t="s">
        <v>18</v>
      </c>
    </row>
    <row r="1396" spans="1:16" x14ac:dyDescent="0.35">
      <c r="A1396">
        <v>5150866</v>
      </c>
      <c r="B1396" t="s">
        <v>6952</v>
      </c>
      <c r="C1396" t="str">
        <f>"9783035712155"</f>
        <v>9783035712155</v>
      </c>
      <c r="D1396" t="str">
        <f>"9783035732153"</f>
        <v>9783035732153</v>
      </c>
      <c r="E1396" t="s">
        <v>1649</v>
      </c>
      <c r="F1396" t="s">
        <v>1649</v>
      </c>
      <c r="G1396" s="1">
        <v>43049</v>
      </c>
      <c r="H1396" s="1">
        <v>43057</v>
      </c>
      <c r="I1396">
        <v>1</v>
      </c>
      <c r="J1396" t="s">
        <v>4195</v>
      </c>
      <c r="K1396" t="s">
        <v>6953</v>
      </c>
      <c r="L1396" t="s">
        <v>6954</v>
      </c>
      <c r="P1396" t="s">
        <v>18</v>
      </c>
    </row>
    <row r="1397" spans="1:16" x14ac:dyDescent="0.35">
      <c r="A1397">
        <v>5106194</v>
      </c>
      <c r="B1397" t="s">
        <v>6955</v>
      </c>
      <c r="C1397" t="str">
        <f>"9780309449809"</f>
        <v>9780309449809</v>
      </c>
      <c r="D1397" t="str">
        <f>"9780309449816"</f>
        <v>9780309449816</v>
      </c>
      <c r="E1397" t="s">
        <v>531</v>
      </c>
      <c r="F1397" t="s">
        <v>531</v>
      </c>
      <c r="G1397" s="1">
        <v>43045</v>
      </c>
      <c r="H1397" s="1">
        <v>43023</v>
      </c>
      <c r="I1397">
        <v>1</v>
      </c>
      <c r="K1397" t="s">
        <v>6956</v>
      </c>
      <c r="L1397" t="s">
        <v>144</v>
      </c>
      <c r="N1397">
        <v>579</v>
      </c>
      <c r="P1397" t="s">
        <v>18</v>
      </c>
    </row>
    <row r="1398" spans="1:16" x14ac:dyDescent="0.35">
      <c r="A1398">
        <v>5053340</v>
      </c>
      <c r="B1398" t="s">
        <v>6957</v>
      </c>
      <c r="C1398" t="str">
        <f>"9781522538172"</f>
        <v>9781522538172</v>
      </c>
      <c r="D1398" t="str">
        <f>"9781522538189"</f>
        <v>9781522538189</v>
      </c>
      <c r="E1398" t="s">
        <v>138</v>
      </c>
      <c r="F1398" t="s">
        <v>1789</v>
      </c>
      <c r="G1398" s="1">
        <v>43039</v>
      </c>
      <c r="H1398" s="1">
        <v>43000</v>
      </c>
      <c r="K1398" t="s">
        <v>1999</v>
      </c>
      <c r="L1398" t="s">
        <v>41</v>
      </c>
      <c r="M1398" t="s">
        <v>6958</v>
      </c>
      <c r="N1398" t="s">
        <v>128</v>
      </c>
      <c r="O1398" t="s">
        <v>503</v>
      </c>
      <c r="P1398" t="s">
        <v>18</v>
      </c>
    </row>
    <row r="1399" spans="1:16" x14ac:dyDescent="0.35">
      <c r="A1399">
        <v>5061969</v>
      </c>
      <c r="B1399" t="s">
        <v>6959</v>
      </c>
      <c r="C1399" t="str">
        <f>"9781522535003"</f>
        <v>9781522535003</v>
      </c>
      <c r="D1399" t="str">
        <f>"9781522535010"</f>
        <v>9781522535010</v>
      </c>
      <c r="E1399" t="s">
        <v>138</v>
      </c>
      <c r="F1399" t="s">
        <v>1769</v>
      </c>
      <c r="G1399" s="1">
        <v>43039</v>
      </c>
      <c r="H1399" s="1">
        <v>43007</v>
      </c>
      <c r="K1399" t="s">
        <v>6960</v>
      </c>
      <c r="L1399" t="s">
        <v>203</v>
      </c>
      <c r="M1399" t="s">
        <v>6961</v>
      </c>
      <c r="N1399" t="s">
        <v>6962</v>
      </c>
      <c r="O1399" t="s">
        <v>6963</v>
      </c>
      <c r="P1399" t="s">
        <v>18</v>
      </c>
    </row>
    <row r="1400" spans="1:16" x14ac:dyDescent="0.35">
      <c r="A1400">
        <v>5115618</v>
      </c>
      <c r="B1400" t="s">
        <v>2345</v>
      </c>
      <c r="C1400" t="str">
        <f>"9780128130797"</f>
        <v>9780128130797</v>
      </c>
      <c r="D1400" t="str">
        <f>"9780128130803"</f>
        <v>9780128130803</v>
      </c>
      <c r="E1400" t="s">
        <v>190</v>
      </c>
      <c r="F1400" t="s">
        <v>191</v>
      </c>
      <c r="G1400" s="1">
        <v>43038</v>
      </c>
      <c r="H1400" s="1">
        <v>43036</v>
      </c>
      <c r="J1400" t="s">
        <v>291</v>
      </c>
      <c r="K1400" t="s">
        <v>6964</v>
      </c>
      <c r="L1400" t="s">
        <v>26</v>
      </c>
      <c r="M1400" t="s">
        <v>6965</v>
      </c>
      <c r="N1400">
        <v>338.19</v>
      </c>
      <c r="O1400" t="s">
        <v>6966</v>
      </c>
      <c r="P1400" t="s">
        <v>18</v>
      </c>
    </row>
    <row r="1401" spans="1:16" x14ac:dyDescent="0.35">
      <c r="A1401">
        <v>5110518</v>
      </c>
      <c r="B1401" t="s">
        <v>6967</v>
      </c>
      <c r="C1401" t="str">
        <f>"9781785365102"</f>
        <v>9781785365102</v>
      </c>
      <c r="D1401" t="str">
        <f>"9781785365119"</f>
        <v>9781785365119</v>
      </c>
      <c r="E1401" t="s">
        <v>2080</v>
      </c>
      <c r="F1401" t="s">
        <v>2080</v>
      </c>
      <c r="G1401" s="1">
        <v>43035</v>
      </c>
      <c r="H1401" s="1">
        <v>43048</v>
      </c>
      <c r="I1401">
        <v>1</v>
      </c>
      <c r="K1401" t="s">
        <v>6968</v>
      </c>
      <c r="L1401" t="s">
        <v>6969</v>
      </c>
      <c r="M1401" t="s">
        <v>6970</v>
      </c>
      <c r="N1401">
        <v>361.61</v>
      </c>
      <c r="O1401" t="s">
        <v>6971</v>
      </c>
      <c r="P1401" t="s">
        <v>18</v>
      </c>
    </row>
    <row r="1402" spans="1:16" x14ac:dyDescent="0.35">
      <c r="A1402">
        <v>5149936</v>
      </c>
      <c r="B1402" t="s">
        <v>6972</v>
      </c>
      <c r="C1402" t="str">
        <f>"9789463511803"</f>
        <v>9789463511803</v>
      </c>
      <c r="D1402" t="str">
        <f>"9789463511827"</f>
        <v>9789463511827</v>
      </c>
      <c r="E1402" t="s">
        <v>228</v>
      </c>
      <c r="F1402" t="s">
        <v>549</v>
      </c>
      <c r="G1402" s="1">
        <v>43033</v>
      </c>
      <c r="H1402" s="1">
        <v>43076</v>
      </c>
      <c r="I1402">
        <v>1</v>
      </c>
      <c r="J1402" t="s">
        <v>551</v>
      </c>
      <c r="K1402" t="s">
        <v>6973</v>
      </c>
      <c r="L1402" t="s">
        <v>30</v>
      </c>
      <c r="M1402" t="s">
        <v>6974</v>
      </c>
      <c r="P1402" t="s">
        <v>18</v>
      </c>
    </row>
    <row r="1403" spans="1:16" x14ac:dyDescent="0.35">
      <c r="A1403">
        <v>5014617</v>
      </c>
      <c r="B1403" t="s">
        <v>6975</v>
      </c>
      <c r="C1403" t="str">
        <f>"9781350003248"</f>
        <v>9781350003248</v>
      </c>
      <c r="D1403" t="str">
        <f>"9781350003224"</f>
        <v>9781350003224</v>
      </c>
      <c r="E1403" t="s">
        <v>354</v>
      </c>
      <c r="F1403" t="s">
        <v>355</v>
      </c>
      <c r="G1403" s="1">
        <v>43027</v>
      </c>
      <c r="H1403" s="1">
        <v>42979</v>
      </c>
      <c r="I1403">
        <v>1</v>
      </c>
      <c r="K1403" t="s">
        <v>6976</v>
      </c>
      <c r="L1403" t="s">
        <v>38</v>
      </c>
      <c r="M1403" t="s">
        <v>6977</v>
      </c>
      <c r="N1403">
        <v>307.76095099999998</v>
      </c>
      <c r="O1403" t="s">
        <v>6978</v>
      </c>
      <c r="P1403" t="s">
        <v>18</v>
      </c>
    </row>
    <row r="1404" spans="1:16" x14ac:dyDescent="0.35">
      <c r="A1404">
        <v>5107987</v>
      </c>
      <c r="B1404" t="s">
        <v>6979</v>
      </c>
      <c r="C1404" t="str">
        <f>"9780081009970"</f>
        <v>9780081009970</v>
      </c>
      <c r="D1404" t="str">
        <f>"9780081009963"</f>
        <v>9780081009963</v>
      </c>
      <c r="E1404" t="s">
        <v>190</v>
      </c>
      <c r="F1404" t="s">
        <v>280</v>
      </c>
      <c r="G1404" s="1">
        <v>43026</v>
      </c>
      <c r="H1404" s="1">
        <v>43027</v>
      </c>
      <c r="J1404" t="s">
        <v>487</v>
      </c>
      <c r="K1404" t="s">
        <v>6980</v>
      </c>
      <c r="L1404" t="s">
        <v>6981</v>
      </c>
      <c r="M1404" t="s">
        <v>6982</v>
      </c>
      <c r="N1404">
        <v>669.3</v>
      </c>
      <c r="O1404" t="s">
        <v>6983</v>
      </c>
      <c r="P1404" t="s">
        <v>18</v>
      </c>
    </row>
    <row r="1405" spans="1:16" x14ac:dyDescent="0.35">
      <c r="A1405">
        <v>5144862</v>
      </c>
      <c r="B1405" t="s">
        <v>6984</v>
      </c>
      <c r="C1405" t="str">
        <f>"9781787436848"</f>
        <v>9781787436848</v>
      </c>
      <c r="D1405" t="str">
        <f>"9781787436855"</f>
        <v>9781787436855</v>
      </c>
      <c r="E1405" t="s">
        <v>187</v>
      </c>
      <c r="F1405" t="s">
        <v>187</v>
      </c>
      <c r="G1405" s="1">
        <v>43013</v>
      </c>
      <c r="H1405" s="1">
        <v>43052</v>
      </c>
      <c r="J1405" t="s">
        <v>6985</v>
      </c>
      <c r="K1405" t="s">
        <v>6986</v>
      </c>
      <c r="L1405" t="s">
        <v>28</v>
      </c>
      <c r="M1405" t="s">
        <v>6987</v>
      </c>
      <c r="N1405">
        <v>658.5</v>
      </c>
      <c r="O1405" t="s">
        <v>6988</v>
      </c>
      <c r="P1405" t="s">
        <v>18</v>
      </c>
    </row>
    <row r="1406" spans="1:16" x14ac:dyDescent="0.35">
      <c r="A1406">
        <v>5015566</v>
      </c>
      <c r="B1406" t="s">
        <v>6989</v>
      </c>
      <c r="C1406" t="str">
        <f>""</f>
        <v/>
      </c>
      <c r="D1406" t="str">
        <f>"9781522515364"</f>
        <v>9781522515364</v>
      </c>
      <c r="E1406" t="s">
        <v>138</v>
      </c>
      <c r="F1406" t="s">
        <v>138</v>
      </c>
      <c r="G1406" s="1">
        <v>43009</v>
      </c>
      <c r="H1406" s="1">
        <v>42980</v>
      </c>
      <c r="K1406" t="s">
        <v>3292</v>
      </c>
      <c r="P1406" t="s">
        <v>18</v>
      </c>
    </row>
    <row r="1407" spans="1:16" x14ac:dyDescent="0.35">
      <c r="A1407">
        <v>5119695</v>
      </c>
      <c r="B1407" t="s">
        <v>6990</v>
      </c>
      <c r="C1407" t="str">
        <f>""</f>
        <v/>
      </c>
      <c r="D1407" t="str">
        <f>"9781522514220"</f>
        <v>9781522514220</v>
      </c>
      <c r="E1407" t="s">
        <v>138</v>
      </c>
      <c r="F1407" t="s">
        <v>138</v>
      </c>
      <c r="G1407" s="1">
        <v>43009</v>
      </c>
      <c r="H1407" s="1">
        <v>43041</v>
      </c>
      <c r="K1407" t="s">
        <v>2410</v>
      </c>
      <c r="L1407" t="s">
        <v>38</v>
      </c>
      <c r="M1407" t="s">
        <v>6991</v>
      </c>
      <c r="N1407">
        <v>304.2</v>
      </c>
      <c r="O1407" t="s">
        <v>6992</v>
      </c>
      <c r="P1407" t="s">
        <v>18</v>
      </c>
    </row>
    <row r="1408" spans="1:16" x14ac:dyDescent="0.35">
      <c r="A1408">
        <v>5015529</v>
      </c>
      <c r="B1408" t="s">
        <v>6993</v>
      </c>
      <c r="C1408" t="str">
        <f>"9780309460040"</f>
        <v>9780309460040</v>
      </c>
      <c r="D1408" t="str">
        <f>"9780309460057"</f>
        <v>9780309460057</v>
      </c>
      <c r="E1408" t="s">
        <v>531</v>
      </c>
      <c r="F1408" t="s">
        <v>531</v>
      </c>
      <c r="G1408" s="1">
        <v>43008</v>
      </c>
      <c r="H1408" s="1">
        <v>42980</v>
      </c>
      <c r="I1408">
        <v>1</v>
      </c>
      <c r="K1408" t="s">
        <v>6994</v>
      </c>
      <c r="L1408" t="s">
        <v>38</v>
      </c>
      <c r="N1408" t="s">
        <v>6995</v>
      </c>
      <c r="P1408" t="s">
        <v>18</v>
      </c>
    </row>
    <row r="1409" spans="1:16" x14ac:dyDescent="0.35">
      <c r="A1409">
        <v>5050157</v>
      </c>
      <c r="B1409" t="s">
        <v>6996</v>
      </c>
      <c r="C1409" t="str">
        <f>"9780444637635"</f>
        <v>9780444637635</v>
      </c>
      <c r="D1409" t="str">
        <f>"9780444640079"</f>
        <v>9780444640079</v>
      </c>
      <c r="E1409" t="s">
        <v>1699</v>
      </c>
      <c r="F1409" t="s">
        <v>1699</v>
      </c>
      <c r="G1409" s="1">
        <v>42996</v>
      </c>
      <c r="H1409" s="1">
        <v>43006</v>
      </c>
      <c r="I1409">
        <v>2</v>
      </c>
      <c r="K1409" t="s">
        <v>6997</v>
      </c>
      <c r="L1409" t="s">
        <v>108</v>
      </c>
      <c r="M1409" t="s">
        <v>6998</v>
      </c>
      <c r="N1409">
        <v>551.9</v>
      </c>
      <c r="O1409" t="s">
        <v>6999</v>
      </c>
      <c r="P1409" t="s">
        <v>18</v>
      </c>
    </row>
    <row r="1410" spans="1:16" x14ac:dyDescent="0.35">
      <c r="A1410">
        <v>5046773</v>
      </c>
      <c r="B1410" t="s">
        <v>7000</v>
      </c>
      <c r="C1410" t="str">
        <f>"9780128121603"</f>
        <v>9780128121603</v>
      </c>
      <c r="D1410" t="str">
        <f>"9780128122389"</f>
        <v>9780128122389</v>
      </c>
      <c r="E1410" t="s">
        <v>190</v>
      </c>
      <c r="F1410" t="s">
        <v>280</v>
      </c>
      <c r="G1410" s="1">
        <v>42991</v>
      </c>
      <c r="H1410" s="1">
        <v>42992</v>
      </c>
      <c r="K1410" t="s">
        <v>7001</v>
      </c>
      <c r="L1410" t="s">
        <v>168</v>
      </c>
      <c r="M1410" t="s">
        <v>7002</v>
      </c>
      <c r="N1410">
        <v>631</v>
      </c>
      <c r="O1410" t="s">
        <v>4125</v>
      </c>
      <c r="P1410" t="s">
        <v>18</v>
      </c>
    </row>
    <row r="1411" spans="1:16" x14ac:dyDescent="0.35">
      <c r="A1411">
        <v>5103614</v>
      </c>
      <c r="B1411" t="s">
        <v>7003</v>
      </c>
      <c r="C1411" t="str">
        <f>"9782807604247"</f>
        <v>9782807604247</v>
      </c>
      <c r="D1411" t="str">
        <f>"9782807604254"</f>
        <v>9782807604254</v>
      </c>
      <c r="E1411" t="s">
        <v>5060</v>
      </c>
      <c r="F1411" t="s">
        <v>7004</v>
      </c>
      <c r="G1411" s="1">
        <v>42984</v>
      </c>
      <c r="H1411" s="1">
        <v>43021</v>
      </c>
      <c r="I1411">
        <v>1</v>
      </c>
      <c r="J1411" t="s">
        <v>7005</v>
      </c>
      <c r="K1411" t="s">
        <v>7006</v>
      </c>
      <c r="L1411" t="s">
        <v>38</v>
      </c>
      <c r="M1411" t="s">
        <v>7007</v>
      </c>
      <c r="N1411" t="s">
        <v>7008</v>
      </c>
      <c r="O1411" t="s">
        <v>7009</v>
      </c>
      <c r="P1411" t="s">
        <v>18</v>
      </c>
    </row>
    <row r="1412" spans="1:16" x14ac:dyDescent="0.35">
      <c r="A1412">
        <v>4915540</v>
      </c>
      <c r="B1412" t="s">
        <v>7010</v>
      </c>
      <c r="C1412" t="str">
        <f>"9780128046777"</f>
        <v>9780128046777</v>
      </c>
      <c r="D1412" t="str">
        <f>"9780128047927"</f>
        <v>9780128047927</v>
      </c>
      <c r="E1412" t="s">
        <v>1699</v>
      </c>
      <c r="F1412" t="s">
        <v>1699</v>
      </c>
      <c r="G1412" s="1">
        <v>42982</v>
      </c>
      <c r="H1412" s="1">
        <v>42931</v>
      </c>
      <c r="K1412" t="s">
        <v>7011</v>
      </c>
      <c r="L1412" t="s">
        <v>3976</v>
      </c>
      <c r="M1412" t="s">
        <v>7012</v>
      </c>
      <c r="N1412">
        <v>628.03</v>
      </c>
      <c r="O1412" t="s">
        <v>3866</v>
      </c>
      <c r="P1412" t="s">
        <v>18</v>
      </c>
    </row>
    <row r="1413" spans="1:16" x14ac:dyDescent="0.35">
      <c r="A1413">
        <v>4935849</v>
      </c>
      <c r="B1413" t="s">
        <v>7013</v>
      </c>
      <c r="C1413" t="str">
        <f>"9780309458573"</f>
        <v>9780309458573</v>
      </c>
      <c r="D1413" t="str">
        <f>"9780309458580"</f>
        <v>9780309458580</v>
      </c>
      <c r="E1413" t="s">
        <v>531</v>
      </c>
      <c r="F1413" t="s">
        <v>531</v>
      </c>
      <c r="G1413" s="1">
        <v>42971</v>
      </c>
      <c r="H1413" s="1">
        <v>42950</v>
      </c>
      <c r="I1413">
        <v>1</v>
      </c>
      <c r="K1413" t="s">
        <v>7014</v>
      </c>
      <c r="L1413" t="s">
        <v>7015</v>
      </c>
      <c r="M1413" t="s">
        <v>7016</v>
      </c>
      <c r="N1413" t="s">
        <v>322</v>
      </c>
      <c r="O1413" t="s">
        <v>7017</v>
      </c>
      <c r="P1413" t="s">
        <v>18</v>
      </c>
    </row>
    <row r="1414" spans="1:16" x14ac:dyDescent="0.35">
      <c r="A1414">
        <v>4933713</v>
      </c>
      <c r="B1414" t="s">
        <v>7018</v>
      </c>
      <c r="C1414" t="str">
        <f>"9789004352186"</f>
        <v>9789004352186</v>
      </c>
      <c r="D1414" t="str">
        <f>"9789004352650"</f>
        <v>9789004352650</v>
      </c>
      <c r="E1414" t="s">
        <v>228</v>
      </c>
      <c r="F1414" t="s">
        <v>228</v>
      </c>
      <c r="G1414" s="1">
        <v>42957</v>
      </c>
      <c r="H1414" s="1">
        <v>42950</v>
      </c>
      <c r="I1414">
        <v>1</v>
      </c>
      <c r="K1414" t="s">
        <v>7019</v>
      </c>
      <c r="L1414" t="s">
        <v>7020</v>
      </c>
      <c r="M1414" t="s">
        <v>7021</v>
      </c>
      <c r="N1414">
        <v>201.77</v>
      </c>
      <c r="O1414" t="s">
        <v>7022</v>
      </c>
      <c r="P1414" t="s">
        <v>18</v>
      </c>
    </row>
    <row r="1415" spans="1:16" x14ac:dyDescent="0.35">
      <c r="A1415">
        <v>4939435</v>
      </c>
      <c r="B1415" t="s">
        <v>7023</v>
      </c>
      <c r="C1415" t="str">
        <f>"9780128098271"</f>
        <v>9780128098271</v>
      </c>
      <c r="D1415" t="str">
        <f>"9780128098288"</f>
        <v>9780128098288</v>
      </c>
      <c r="E1415" t="s">
        <v>190</v>
      </c>
      <c r="F1415" t="s">
        <v>191</v>
      </c>
      <c r="G1415" s="1">
        <v>42954</v>
      </c>
      <c r="H1415" s="1">
        <v>42953</v>
      </c>
      <c r="K1415" t="s">
        <v>7024</v>
      </c>
      <c r="L1415" t="s">
        <v>233</v>
      </c>
      <c r="M1415" t="s">
        <v>7025</v>
      </c>
      <c r="N1415">
        <v>362.10424999999901</v>
      </c>
      <c r="O1415" t="s">
        <v>7026</v>
      </c>
      <c r="P1415" t="s">
        <v>18</v>
      </c>
    </row>
    <row r="1416" spans="1:16" x14ac:dyDescent="0.35">
      <c r="A1416">
        <v>4915581</v>
      </c>
      <c r="B1416" t="s">
        <v>7027</v>
      </c>
      <c r="C1416" t="str">
        <f>"9781522526339"</f>
        <v>9781522526339</v>
      </c>
      <c r="D1416" t="str">
        <f>"9781522526346"</f>
        <v>9781522526346</v>
      </c>
      <c r="E1416" t="s">
        <v>138</v>
      </c>
      <c r="F1416" t="s">
        <v>6635</v>
      </c>
      <c r="G1416" s="1">
        <v>42946</v>
      </c>
      <c r="H1416" s="1">
        <v>42931</v>
      </c>
      <c r="K1416" t="s">
        <v>7028</v>
      </c>
      <c r="L1416" t="s">
        <v>233</v>
      </c>
      <c r="M1416" t="s">
        <v>7029</v>
      </c>
      <c r="N1416" t="s">
        <v>7030</v>
      </c>
      <c r="O1416" t="s">
        <v>7031</v>
      </c>
      <c r="P1416" t="s">
        <v>18</v>
      </c>
    </row>
    <row r="1417" spans="1:16" x14ac:dyDescent="0.35">
      <c r="A1417">
        <v>4929998</v>
      </c>
      <c r="B1417" t="s">
        <v>7032</v>
      </c>
      <c r="C1417" t="str">
        <f>"9781786432728"</f>
        <v>9781786432728</v>
      </c>
      <c r="D1417" t="str">
        <f>"9781786432735"</f>
        <v>9781786432735</v>
      </c>
      <c r="E1417" t="s">
        <v>2080</v>
      </c>
      <c r="F1417" t="s">
        <v>7033</v>
      </c>
      <c r="G1417" s="1">
        <v>42944</v>
      </c>
      <c r="H1417" s="1">
        <v>42947</v>
      </c>
      <c r="I1417">
        <v>1</v>
      </c>
      <c r="K1417" t="s">
        <v>7034</v>
      </c>
      <c r="L1417" t="s">
        <v>26</v>
      </c>
      <c r="M1417" t="s">
        <v>7035</v>
      </c>
      <c r="N1417">
        <v>338.92700000000002</v>
      </c>
      <c r="O1417" t="s">
        <v>7036</v>
      </c>
      <c r="P1417" t="s">
        <v>18</v>
      </c>
    </row>
    <row r="1418" spans="1:16" x14ac:dyDescent="0.35">
      <c r="A1418">
        <v>5898007</v>
      </c>
      <c r="B1418" t="s">
        <v>7037</v>
      </c>
      <c r="C1418" t="str">
        <f>"9781786390141"</f>
        <v>9781786390141</v>
      </c>
      <c r="D1418" t="str">
        <f>"9781786390165"</f>
        <v>9781786390165</v>
      </c>
      <c r="E1418" t="s">
        <v>333</v>
      </c>
      <c r="F1418" t="s">
        <v>333</v>
      </c>
      <c r="G1418" s="1">
        <v>42942</v>
      </c>
      <c r="H1418" s="1">
        <v>43727</v>
      </c>
      <c r="K1418" t="s">
        <v>7038</v>
      </c>
      <c r="L1418" t="s">
        <v>64</v>
      </c>
      <c r="M1418" t="s">
        <v>7039</v>
      </c>
      <c r="N1418">
        <v>338.47910000000002</v>
      </c>
      <c r="O1418" t="s">
        <v>7040</v>
      </c>
      <c r="P1418" t="s">
        <v>18</v>
      </c>
    </row>
    <row r="1419" spans="1:16" x14ac:dyDescent="0.35">
      <c r="A1419">
        <v>4790519</v>
      </c>
      <c r="B1419" t="s">
        <v>7041</v>
      </c>
      <c r="C1419" t="str">
        <f>"9781787145764"</f>
        <v>9781787145764</v>
      </c>
      <c r="D1419" t="str">
        <f>"9781787145757"</f>
        <v>9781787145757</v>
      </c>
      <c r="E1419" t="s">
        <v>187</v>
      </c>
      <c r="F1419" t="s">
        <v>187</v>
      </c>
      <c r="G1419" s="1">
        <v>42940</v>
      </c>
      <c r="H1419" s="1">
        <v>42924</v>
      </c>
      <c r="K1419" t="s">
        <v>7042</v>
      </c>
      <c r="L1419" t="s">
        <v>28</v>
      </c>
      <c r="M1419" t="s">
        <v>2657</v>
      </c>
      <c r="N1419">
        <v>380</v>
      </c>
      <c r="O1419" t="s">
        <v>218</v>
      </c>
      <c r="P1419" t="s">
        <v>18</v>
      </c>
    </row>
    <row r="1420" spans="1:16" x14ac:dyDescent="0.35">
      <c r="A1420">
        <v>5023706</v>
      </c>
      <c r="B1420" t="s">
        <v>7043</v>
      </c>
      <c r="C1420" t="str">
        <f>"9783736995864"</f>
        <v>9783736995864</v>
      </c>
      <c r="D1420" t="str">
        <f>"9783736985865"</f>
        <v>9783736985865</v>
      </c>
      <c r="E1420" t="s">
        <v>2357</v>
      </c>
      <c r="F1420" t="s">
        <v>2357</v>
      </c>
      <c r="G1420" s="1">
        <v>42935</v>
      </c>
      <c r="H1420" s="1">
        <v>42984</v>
      </c>
      <c r="I1420">
        <v>1</v>
      </c>
      <c r="J1420" t="s">
        <v>7044</v>
      </c>
      <c r="K1420" t="s">
        <v>7045</v>
      </c>
      <c r="L1420" t="s">
        <v>7046</v>
      </c>
      <c r="M1420" t="s">
        <v>7047</v>
      </c>
      <c r="N1420">
        <v>523.11260000000004</v>
      </c>
      <c r="O1420" t="s">
        <v>7048</v>
      </c>
      <c r="P1420" t="s">
        <v>18</v>
      </c>
    </row>
    <row r="1421" spans="1:16" x14ac:dyDescent="0.35">
      <c r="A1421">
        <v>4923185</v>
      </c>
      <c r="B1421" t="s">
        <v>7049</v>
      </c>
      <c r="C1421" t="str">
        <f>"9781522527169"</f>
        <v>9781522527169</v>
      </c>
      <c r="D1421" t="str">
        <f>"9781522527176"</f>
        <v>9781522527176</v>
      </c>
      <c r="E1421" t="s">
        <v>138</v>
      </c>
      <c r="F1421" t="s">
        <v>1769</v>
      </c>
      <c r="G1421" s="1">
        <v>42928</v>
      </c>
      <c r="H1421" s="1">
        <v>42938</v>
      </c>
      <c r="K1421" t="s">
        <v>4551</v>
      </c>
      <c r="L1421" t="s">
        <v>28</v>
      </c>
      <c r="M1421" t="s">
        <v>7050</v>
      </c>
      <c r="N1421" t="s">
        <v>369</v>
      </c>
      <c r="O1421" t="s">
        <v>289</v>
      </c>
      <c r="P1421" t="s">
        <v>18</v>
      </c>
    </row>
    <row r="1422" spans="1:16" x14ac:dyDescent="0.35">
      <c r="A1422">
        <v>4938743</v>
      </c>
      <c r="B1422" t="s">
        <v>7051</v>
      </c>
      <c r="C1422" t="str">
        <f>"9783035711028"</f>
        <v>9783035711028</v>
      </c>
      <c r="D1422" t="str">
        <f>"9783035731026"</f>
        <v>9783035731026</v>
      </c>
      <c r="E1422" t="s">
        <v>1649</v>
      </c>
      <c r="F1422" t="s">
        <v>1649</v>
      </c>
      <c r="G1422" s="1">
        <v>42922</v>
      </c>
      <c r="H1422" s="1">
        <v>42951</v>
      </c>
      <c r="I1422">
        <v>1</v>
      </c>
      <c r="J1422" t="s">
        <v>4195</v>
      </c>
      <c r="K1422" t="s">
        <v>4196</v>
      </c>
      <c r="L1422" t="s">
        <v>248</v>
      </c>
      <c r="P1422" t="s">
        <v>18</v>
      </c>
    </row>
    <row r="1423" spans="1:16" x14ac:dyDescent="0.35">
      <c r="A1423">
        <v>4871501</v>
      </c>
      <c r="B1423" t="s">
        <v>7052</v>
      </c>
      <c r="C1423" t="str">
        <f>""</f>
        <v/>
      </c>
      <c r="D1423" t="str">
        <f>"9781522514213"</f>
        <v>9781522514213</v>
      </c>
      <c r="E1423" t="s">
        <v>138</v>
      </c>
      <c r="F1423" t="s">
        <v>138</v>
      </c>
      <c r="G1423" s="1">
        <v>42917</v>
      </c>
      <c r="H1423" s="1">
        <v>42891</v>
      </c>
      <c r="K1423" t="s">
        <v>2410</v>
      </c>
      <c r="L1423" t="s">
        <v>38</v>
      </c>
      <c r="M1423" t="s">
        <v>7053</v>
      </c>
      <c r="O1423" t="s">
        <v>6992</v>
      </c>
      <c r="P1423" t="s">
        <v>18</v>
      </c>
    </row>
    <row r="1424" spans="1:16" x14ac:dyDescent="0.35">
      <c r="A1424">
        <v>4880196</v>
      </c>
      <c r="B1424" t="s">
        <v>7054</v>
      </c>
      <c r="C1424" t="str">
        <f>""</f>
        <v/>
      </c>
      <c r="D1424" t="str">
        <f>"9781522515357"</f>
        <v>9781522515357</v>
      </c>
      <c r="E1424" t="s">
        <v>138</v>
      </c>
      <c r="F1424" t="s">
        <v>138</v>
      </c>
      <c r="G1424" s="1">
        <v>42917</v>
      </c>
      <c r="H1424" s="1">
        <v>42905</v>
      </c>
      <c r="K1424" t="s">
        <v>3292</v>
      </c>
      <c r="L1424" t="s">
        <v>26</v>
      </c>
      <c r="M1424" t="s">
        <v>7055</v>
      </c>
      <c r="N1424">
        <v>338.90050000000002</v>
      </c>
      <c r="O1424" t="s">
        <v>7056</v>
      </c>
      <c r="P1424" t="s">
        <v>18</v>
      </c>
    </row>
    <row r="1425" spans="1:16" x14ac:dyDescent="0.35">
      <c r="A1425">
        <v>5452125</v>
      </c>
      <c r="B1425" t="s">
        <v>7057</v>
      </c>
      <c r="C1425" t="str">
        <f>""</f>
        <v/>
      </c>
      <c r="D1425" t="str">
        <f>"9781522515906"</f>
        <v>9781522515906</v>
      </c>
      <c r="E1425" t="s">
        <v>138</v>
      </c>
      <c r="F1425" t="s">
        <v>138</v>
      </c>
      <c r="G1425" s="1">
        <v>42917</v>
      </c>
      <c r="H1425" s="1">
        <v>43296</v>
      </c>
      <c r="K1425" t="s">
        <v>4898</v>
      </c>
      <c r="L1425" t="s">
        <v>41</v>
      </c>
      <c r="M1425" t="s">
        <v>7058</v>
      </c>
      <c r="N1425">
        <v>338.92700000000002</v>
      </c>
      <c r="O1425" t="s">
        <v>7059</v>
      </c>
      <c r="P1425" t="s">
        <v>18</v>
      </c>
    </row>
    <row r="1426" spans="1:16" x14ac:dyDescent="0.35">
      <c r="A1426">
        <v>4871451</v>
      </c>
      <c r="B1426" t="s">
        <v>7060</v>
      </c>
      <c r="C1426" t="str">
        <f>"9780309456647"</f>
        <v>9780309456647</v>
      </c>
      <c r="D1426" t="str">
        <f>"9780309456654"</f>
        <v>9780309456654</v>
      </c>
      <c r="E1426" t="s">
        <v>531</v>
      </c>
      <c r="F1426" t="s">
        <v>531</v>
      </c>
      <c r="G1426" s="1">
        <v>42916</v>
      </c>
      <c r="H1426" s="1">
        <v>42890</v>
      </c>
      <c r="I1426">
        <v>1</v>
      </c>
      <c r="K1426" t="s">
        <v>7061</v>
      </c>
      <c r="L1426" t="s">
        <v>533</v>
      </c>
      <c r="P1426" t="s">
        <v>18</v>
      </c>
    </row>
    <row r="1427" spans="1:16" x14ac:dyDescent="0.35">
      <c r="A1427">
        <v>4882080</v>
      </c>
      <c r="B1427" t="s">
        <v>7062</v>
      </c>
      <c r="C1427" t="str">
        <f>"9781783473557"</f>
        <v>9781783473557</v>
      </c>
      <c r="D1427" t="str">
        <f>"9781783473564"</f>
        <v>9781783473564</v>
      </c>
      <c r="E1427" t="s">
        <v>2080</v>
      </c>
      <c r="F1427" t="s">
        <v>2080</v>
      </c>
      <c r="G1427" s="1">
        <v>42916</v>
      </c>
      <c r="H1427" s="1">
        <v>42907</v>
      </c>
      <c r="I1427">
        <v>1</v>
      </c>
      <c r="K1427" t="s">
        <v>7063</v>
      </c>
      <c r="L1427" t="s">
        <v>26</v>
      </c>
      <c r="M1427" t="s">
        <v>7064</v>
      </c>
      <c r="N1427">
        <v>338.92700000000002</v>
      </c>
      <c r="O1427" t="s">
        <v>2625</v>
      </c>
      <c r="P1427" t="s">
        <v>18</v>
      </c>
    </row>
    <row r="1428" spans="1:16" x14ac:dyDescent="0.35">
      <c r="A1428">
        <v>5044046</v>
      </c>
      <c r="B1428" t="s">
        <v>7065</v>
      </c>
      <c r="C1428" t="str">
        <f>"9789463510424"</f>
        <v>9789463510424</v>
      </c>
      <c r="D1428" t="str">
        <f>"9789463510448"</f>
        <v>9789463510448</v>
      </c>
      <c r="E1428" t="s">
        <v>228</v>
      </c>
      <c r="F1428" t="s">
        <v>549</v>
      </c>
      <c r="G1428" s="1">
        <v>42914</v>
      </c>
      <c r="H1428" s="1">
        <v>43025</v>
      </c>
      <c r="I1428">
        <v>1</v>
      </c>
      <c r="J1428" t="s">
        <v>550</v>
      </c>
      <c r="K1428" t="s">
        <v>7066</v>
      </c>
      <c r="L1428" t="s">
        <v>30</v>
      </c>
      <c r="M1428" t="s">
        <v>6974</v>
      </c>
      <c r="N1428">
        <v>378</v>
      </c>
      <c r="O1428" t="s">
        <v>7067</v>
      </c>
      <c r="P1428" t="s">
        <v>18</v>
      </c>
    </row>
    <row r="1429" spans="1:16" x14ac:dyDescent="0.35">
      <c r="A1429">
        <v>4871450</v>
      </c>
      <c r="B1429" t="s">
        <v>7068</v>
      </c>
      <c r="C1429" t="str">
        <f>"9780309454209"</f>
        <v>9780309454209</v>
      </c>
      <c r="D1429" t="str">
        <f>"9780309454216"</f>
        <v>9780309454216</v>
      </c>
      <c r="E1429" t="s">
        <v>531</v>
      </c>
      <c r="F1429" t="s">
        <v>531</v>
      </c>
      <c r="G1429" s="1">
        <v>42909</v>
      </c>
      <c r="H1429" s="1">
        <v>42890</v>
      </c>
      <c r="I1429">
        <v>1</v>
      </c>
      <c r="K1429" t="s">
        <v>7069</v>
      </c>
      <c r="L1429" t="s">
        <v>105</v>
      </c>
      <c r="N1429" t="s">
        <v>7070</v>
      </c>
      <c r="P1429" t="s">
        <v>18</v>
      </c>
    </row>
    <row r="1430" spans="1:16" x14ac:dyDescent="0.35">
      <c r="A1430">
        <v>4882531</v>
      </c>
      <c r="B1430" t="s">
        <v>7071</v>
      </c>
      <c r="C1430" t="str">
        <f>"9780128095928"</f>
        <v>9780128095928</v>
      </c>
      <c r="D1430" t="str">
        <f>"9780128097687"</f>
        <v>9780128097687</v>
      </c>
      <c r="E1430" t="s">
        <v>190</v>
      </c>
      <c r="F1430" t="s">
        <v>191</v>
      </c>
      <c r="G1430" s="1">
        <v>42906</v>
      </c>
      <c r="H1430" s="1">
        <v>42908</v>
      </c>
      <c r="I1430">
        <v>2</v>
      </c>
      <c r="K1430" t="s">
        <v>7072</v>
      </c>
      <c r="L1430" t="s">
        <v>115</v>
      </c>
      <c r="M1430" t="s">
        <v>7073</v>
      </c>
      <c r="N1430">
        <v>621.04200000000003</v>
      </c>
      <c r="O1430" t="s">
        <v>7074</v>
      </c>
      <c r="P1430" t="s">
        <v>18</v>
      </c>
    </row>
    <row r="1431" spans="1:16" x14ac:dyDescent="0.35">
      <c r="A1431">
        <v>4886651</v>
      </c>
      <c r="B1431" t="s">
        <v>7075</v>
      </c>
      <c r="C1431" t="str">
        <f>"9781522526629"</f>
        <v>9781522526629</v>
      </c>
      <c r="D1431" t="str">
        <f>"9781522526636"</f>
        <v>9781522526636</v>
      </c>
      <c r="E1431" t="s">
        <v>138</v>
      </c>
      <c r="F1431" t="s">
        <v>1769</v>
      </c>
      <c r="G1431" s="1">
        <v>42905</v>
      </c>
      <c r="H1431" s="1">
        <v>42911</v>
      </c>
      <c r="K1431" t="s">
        <v>7076</v>
      </c>
      <c r="L1431" t="s">
        <v>28</v>
      </c>
      <c r="M1431" t="s">
        <v>7077</v>
      </c>
      <c r="N1431" t="s">
        <v>5141</v>
      </c>
      <c r="O1431" t="s">
        <v>7078</v>
      </c>
      <c r="P1431" t="s">
        <v>18</v>
      </c>
    </row>
    <row r="1432" spans="1:16" x14ac:dyDescent="0.35">
      <c r="A1432">
        <v>4882543</v>
      </c>
      <c r="B1432" t="s">
        <v>7079</v>
      </c>
      <c r="C1432" t="str">
        <f>"9780081020012"</f>
        <v>9780081020012</v>
      </c>
      <c r="D1432" t="str">
        <f>"9780081020029"</f>
        <v>9780081020029</v>
      </c>
      <c r="E1432" t="s">
        <v>190</v>
      </c>
      <c r="F1432" t="s">
        <v>280</v>
      </c>
      <c r="G1432" s="1">
        <v>42902</v>
      </c>
      <c r="H1432" s="1">
        <v>42908</v>
      </c>
      <c r="K1432" t="s">
        <v>7080</v>
      </c>
      <c r="L1432" t="s">
        <v>374</v>
      </c>
      <c r="M1432" t="s">
        <v>7081</v>
      </c>
      <c r="N1432">
        <v>691.9</v>
      </c>
      <c r="O1432" t="s">
        <v>7082</v>
      </c>
      <c r="P1432" t="s">
        <v>18</v>
      </c>
    </row>
    <row r="1433" spans="1:16" x14ac:dyDescent="0.35">
      <c r="A1433">
        <v>4875090</v>
      </c>
      <c r="B1433" t="s">
        <v>7083</v>
      </c>
      <c r="C1433" t="str">
        <f>"9780128097915"</f>
        <v>9780128097915</v>
      </c>
      <c r="D1433" t="str">
        <f>"9780128098967"</f>
        <v>9780128098967</v>
      </c>
      <c r="E1433" t="s">
        <v>1699</v>
      </c>
      <c r="F1433" t="s">
        <v>1699</v>
      </c>
      <c r="G1433" s="1">
        <v>42901</v>
      </c>
      <c r="H1433" s="1">
        <v>42897</v>
      </c>
      <c r="K1433" t="s">
        <v>7084</v>
      </c>
      <c r="L1433" t="s">
        <v>104</v>
      </c>
      <c r="M1433" t="s">
        <v>7085</v>
      </c>
      <c r="N1433" t="s">
        <v>7086</v>
      </c>
      <c r="O1433" t="s">
        <v>7087</v>
      </c>
      <c r="P1433" t="s">
        <v>18</v>
      </c>
    </row>
    <row r="1434" spans="1:16" x14ac:dyDescent="0.35">
      <c r="A1434">
        <v>4882553</v>
      </c>
      <c r="B1434" t="s">
        <v>7088</v>
      </c>
      <c r="C1434" t="str">
        <f>"9780081020432"</f>
        <v>9780081020432</v>
      </c>
      <c r="D1434" t="str">
        <f>"9780081020449"</f>
        <v>9780081020449</v>
      </c>
      <c r="E1434" t="s">
        <v>190</v>
      </c>
      <c r="F1434" t="s">
        <v>280</v>
      </c>
      <c r="G1434" s="1">
        <v>42899</v>
      </c>
      <c r="H1434" s="1">
        <v>42908</v>
      </c>
      <c r="J1434" t="s">
        <v>2510</v>
      </c>
      <c r="K1434" t="s">
        <v>3328</v>
      </c>
      <c r="L1434" t="s">
        <v>489</v>
      </c>
      <c r="M1434" t="s">
        <v>7089</v>
      </c>
      <c r="N1434">
        <v>677.21</v>
      </c>
      <c r="O1434" t="s">
        <v>7090</v>
      </c>
      <c r="P1434" t="s">
        <v>18</v>
      </c>
    </row>
    <row r="1435" spans="1:16" x14ac:dyDescent="0.35">
      <c r="A1435">
        <v>4871125</v>
      </c>
      <c r="B1435" t="s">
        <v>7091</v>
      </c>
      <c r="C1435" t="str">
        <f>"9780128053751"</f>
        <v>9780128053751</v>
      </c>
      <c r="D1435" t="str">
        <f>"9780128092989"</f>
        <v>9780128092989</v>
      </c>
      <c r="E1435" t="s">
        <v>190</v>
      </c>
      <c r="F1435" t="s">
        <v>191</v>
      </c>
      <c r="G1435" s="1">
        <v>42898</v>
      </c>
      <c r="H1435" s="1">
        <v>42889</v>
      </c>
      <c r="K1435" t="s">
        <v>7092</v>
      </c>
      <c r="L1435" t="s">
        <v>273</v>
      </c>
      <c r="M1435" t="s">
        <v>7093</v>
      </c>
      <c r="N1435">
        <v>333.91640000000001</v>
      </c>
      <c r="O1435" t="s">
        <v>3512</v>
      </c>
      <c r="P1435" t="s">
        <v>18</v>
      </c>
    </row>
    <row r="1436" spans="1:16" x14ac:dyDescent="0.35">
      <c r="A1436">
        <v>4987109</v>
      </c>
      <c r="B1436" t="s">
        <v>7094</v>
      </c>
      <c r="C1436" t="str">
        <f>""</f>
        <v/>
      </c>
      <c r="D1436" t="str">
        <f>"9781780648347"</f>
        <v>9781780648347</v>
      </c>
      <c r="E1436" t="s">
        <v>332</v>
      </c>
      <c r="F1436" t="s">
        <v>333</v>
      </c>
      <c r="G1436" s="1">
        <v>42895</v>
      </c>
      <c r="H1436" s="1">
        <v>42973</v>
      </c>
      <c r="K1436" t="s">
        <v>7095</v>
      </c>
      <c r="L1436" t="s">
        <v>219</v>
      </c>
      <c r="M1436" t="s">
        <v>7096</v>
      </c>
      <c r="N1436" t="s">
        <v>453</v>
      </c>
      <c r="O1436" t="s">
        <v>7097</v>
      </c>
      <c r="P1436" t="s">
        <v>18</v>
      </c>
    </row>
    <row r="1437" spans="1:16" x14ac:dyDescent="0.35">
      <c r="A1437">
        <v>4867951</v>
      </c>
      <c r="B1437" t="s">
        <v>7098</v>
      </c>
      <c r="C1437" t="str">
        <f>"9780081020418"</f>
        <v>9780081020418</v>
      </c>
      <c r="D1437" t="str">
        <f>"9780081020425"</f>
        <v>9780081020425</v>
      </c>
      <c r="E1437" t="s">
        <v>190</v>
      </c>
      <c r="F1437" t="s">
        <v>280</v>
      </c>
      <c r="G1437" s="1">
        <v>42893</v>
      </c>
      <c r="H1437" s="1">
        <v>42886</v>
      </c>
      <c r="J1437" t="s">
        <v>2510</v>
      </c>
      <c r="K1437" t="s">
        <v>3328</v>
      </c>
      <c r="L1437" t="s">
        <v>5976</v>
      </c>
      <c r="M1437" t="s">
        <v>7099</v>
      </c>
      <c r="N1437">
        <v>338.47676999999999</v>
      </c>
      <c r="O1437" t="s">
        <v>7100</v>
      </c>
      <c r="P1437" t="s">
        <v>18</v>
      </c>
    </row>
    <row r="1438" spans="1:16" x14ac:dyDescent="0.35">
      <c r="A1438">
        <v>4874540</v>
      </c>
      <c r="B1438" t="s">
        <v>7101</v>
      </c>
      <c r="C1438" t="str">
        <f>"9783631722787"</f>
        <v>9783631722787</v>
      </c>
      <c r="D1438" t="str">
        <f>"9783631725672"</f>
        <v>9783631725672</v>
      </c>
      <c r="E1438" t="s">
        <v>2432</v>
      </c>
      <c r="F1438" t="s">
        <v>2432</v>
      </c>
      <c r="G1438" s="1">
        <v>42888</v>
      </c>
      <c r="H1438" s="1">
        <v>42896</v>
      </c>
      <c r="I1438">
        <v>1</v>
      </c>
      <c r="J1438" t="s">
        <v>7102</v>
      </c>
      <c r="K1438" t="s">
        <v>7103</v>
      </c>
      <c r="L1438" t="s">
        <v>202</v>
      </c>
      <c r="M1438" t="s">
        <v>7104</v>
      </c>
      <c r="N1438">
        <v>338.92700000000002</v>
      </c>
      <c r="O1438" t="s">
        <v>2625</v>
      </c>
      <c r="P1438" t="s">
        <v>315</v>
      </c>
    </row>
    <row r="1439" spans="1:16" x14ac:dyDescent="0.35">
      <c r="A1439">
        <v>4863030</v>
      </c>
      <c r="B1439" t="s">
        <v>7105</v>
      </c>
      <c r="C1439" t="str">
        <f>"9780081010440"</f>
        <v>9780081010440</v>
      </c>
      <c r="D1439" t="str">
        <f>"9780128095140"</f>
        <v>9780128095140</v>
      </c>
      <c r="E1439" t="s">
        <v>190</v>
      </c>
      <c r="F1439" t="s">
        <v>191</v>
      </c>
      <c r="G1439" s="1">
        <v>42885</v>
      </c>
      <c r="H1439" s="1">
        <v>42875</v>
      </c>
      <c r="K1439" t="s">
        <v>3435</v>
      </c>
      <c r="L1439" t="s">
        <v>7106</v>
      </c>
      <c r="M1439" t="s">
        <v>7107</v>
      </c>
      <c r="N1439" t="s">
        <v>7108</v>
      </c>
      <c r="O1439" t="s">
        <v>7109</v>
      </c>
      <c r="P1439" t="s">
        <v>18</v>
      </c>
    </row>
    <row r="1440" spans="1:16" x14ac:dyDescent="0.35">
      <c r="A1440">
        <v>4863626</v>
      </c>
      <c r="B1440" t="s">
        <v>7110</v>
      </c>
      <c r="C1440" t="str">
        <f>"9780128042441"</f>
        <v>9780128042441</v>
      </c>
      <c r="D1440" t="str">
        <f>"9780128042861"</f>
        <v>9780128042861</v>
      </c>
      <c r="E1440" t="s">
        <v>190</v>
      </c>
      <c r="F1440" t="s">
        <v>191</v>
      </c>
      <c r="G1440" s="1">
        <v>42885</v>
      </c>
      <c r="H1440" s="1">
        <v>42876</v>
      </c>
      <c r="K1440" t="s">
        <v>7111</v>
      </c>
      <c r="L1440" t="s">
        <v>168</v>
      </c>
      <c r="M1440" t="s">
        <v>7112</v>
      </c>
      <c r="N1440" t="s">
        <v>7113</v>
      </c>
      <c r="O1440" t="s">
        <v>7114</v>
      </c>
      <c r="P1440" t="s">
        <v>18</v>
      </c>
    </row>
    <row r="1441" spans="1:16" x14ac:dyDescent="0.35">
      <c r="A1441">
        <v>4871282</v>
      </c>
      <c r="B1441" t="s">
        <v>7115</v>
      </c>
      <c r="C1441" t="str">
        <f>"9781786601193"</f>
        <v>9781786601193</v>
      </c>
      <c r="D1441" t="str">
        <f>"9781786601216"</f>
        <v>9781786601216</v>
      </c>
      <c r="E1441" t="s">
        <v>443</v>
      </c>
      <c r="F1441" t="s">
        <v>443</v>
      </c>
      <c r="G1441" s="1">
        <v>42879</v>
      </c>
      <c r="H1441" s="1">
        <v>42890</v>
      </c>
      <c r="I1441">
        <v>1</v>
      </c>
      <c r="J1441" t="s">
        <v>7116</v>
      </c>
      <c r="K1441" t="s">
        <v>7117</v>
      </c>
      <c r="L1441" t="s">
        <v>135</v>
      </c>
      <c r="M1441" t="s">
        <v>7118</v>
      </c>
      <c r="N1441">
        <v>304.82</v>
      </c>
      <c r="O1441" t="s">
        <v>7119</v>
      </c>
      <c r="P1441" t="s">
        <v>18</v>
      </c>
    </row>
    <row r="1442" spans="1:16" x14ac:dyDescent="0.35">
      <c r="A1442">
        <v>4878052</v>
      </c>
      <c r="B1442" t="s">
        <v>7120</v>
      </c>
      <c r="C1442" t="str">
        <f>"9789463510486"</f>
        <v>9789463510486</v>
      </c>
      <c r="D1442" t="str">
        <f>"9789463510509"</f>
        <v>9789463510509</v>
      </c>
      <c r="E1442" t="s">
        <v>228</v>
      </c>
      <c r="F1442" t="s">
        <v>549</v>
      </c>
      <c r="G1442" s="1">
        <v>42873</v>
      </c>
      <c r="H1442" s="1">
        <v>42915</v>
      </c>
      <c r="I1442">
        <v>1</v>
      </c>
      <c r="J1442" t="s">
        <v>7121</v>
      </c>
      <c r="K1442" t="s">
        <v>7122</v>
      </c>
      <c r="L1442" t="s">
        <v>593</v>
      </c>
      <c r="M1442" t="s">
        <v>6974</v>
      </c>
      <c r="N1442">
        <v>338.1</v>
      </c>
      <c r="O1442" t="s">
        <v>4125</v>
      </c>
      <c r="P1442" t="s">
        <v>18</v>
      </c>
    </row>
    <row r="1443" spans="1:16" x14ac:dyDescent="0.35">
      <c r="A1443">
        <v>4858025</v>
      </c>
      <c r="B1443" t="s">
        <v>7123</v>
      </c>
      <c r="C1443" t="str">
        <f>"9781443882682"</f>
        <v>9781443882682</v>
      </c>
      <c r="D1443" t="str">
        <f>"9781443893442"</f>
        <v>9781443893442</v>
      </c>
      <c r="E1443" t="s">
        <v>1662</v>
      </c>
      <c r="F1443" t="s">
        <v>1662</v>
      </c>
      <c r="G1443" s="1">
        <v>42867</v>
      </c>
      <c r="H1443" s="1">
        <v>42868</v>
      </c>
      <c r="I1443">
        <v>1</v>
      </c>
      <c r="K1443" t="s">
        <v>7124</v>
      </c>
      <c r="L1443" t="s">
        <v>308</v>
      </c>
      <c r="M1443" t="s">
        <v>7125</v>
      </c>
      <c r="N1443">
        <v>338.47910000000002</v>
      </c>
      <c r="O1443" t="s">
        <v>1964</v>
      </c>
      <c r="P1443" t="s">
        <v>18</v>
      </c>
    </row>
    <row r="1444" spans="1:16" x14ac:dyDescent="0.35">
      <c r="A1444">
        <v>4855895</v>
      </c>
      <c r="B1444" t="s">
        <v>7126</v>
      </c>
      <c r="C1444" t="str">
        <f>"9780128111321"</f>
        <v>9780128111321</v>
      </c>
      <c r="D1444" t="str">
        <f>"9780128111338"</f>
        <v>9780128111338</v>
      </c>
      <c r="E1444" t="s">
        <v>190</v>
      </c>
      <c r="F1444" t="s">
        <v>191</v>
      </c>
      <c r="G1444" s="1">
        <v>42863</v>
      </c>
      <c r="H1444" s="1">
        <v>42862</v>
      </c>
      <c r="K1444" t="s">
        <v>7127</v>
      </c>
      <c r="L1444" t="s">
        <v>5859</v>
      </c>
      <c r="M1444" t="s">
        <v>7128</v>
      </c>
      <c r="N1444" t="s">
        <v>448</v>
      </c>
      <c r="O1444" t="s">
        <v>7129</v>
      </c>
      <c r="P1444" t="s">
        <v>18</v>
      </c>
    </row>
    <row r="1445" spans="1:16" x14ac:dyDescent="0.35">
      <c r="A1445">
        <v>4855926</v>
      </c>
      <c r="B1445" t="s">
        <v>7130</v>
      </c>
      <c r="C1445" t="str">
        <f>"9780128112908"</f>
        <v>9780128112908</v>
      </c>
      <c r="D1445" t="str">
        <f>"9780128112915"</f>
        <v>9780128112915</v>
      </c>
      <c r="E1445" t="s">
        <v>190</v>
      </c>
      <c r="F1445" t="s">
        <v>191</v>
      </c>
      <c r="G1445" s="1">
        <v>42863</v>
      </c>
      <c r="H1445" s="1">
        <v>42862</v>
      </c>
      <c r="K1445" t="s">
        <v>7131</v>
      </c>
      <c r="L1445" t="s">
        <v>76</v>
      </c>
      <c r="M1445" t="s">
        <v>7132</v>
      </c>
      <c r="N1445">
        <v>663.93</v>
      </c>
      <c r="O1445" t="s">
        <v>7133</v>
      </c>
      <c r="P1445" t="s">
        <v>18</v>
      </c>
    </row>
    <row r="1446" spans="1:16" x14ac:dyDescent="0.35">
      <c r="A1446">
        <v>5019975</v>
      </c>
      <c r="B1446" t="s">
        <v>7134</v>
      </c>
      <c r="C1446" t="str">
        <f>"9783736995345"</f>
        <v>9783736995345</v>
      </c>
      <c r="D1446" t="str">
        <f>"9783736985346"</f>
        <v>9783736985346</v>
      </c>
      <c r="E1446" t="s">
        <v>2357</v>
      </c>
      <c r="F1446" t="s">
        <v>2357</v>
      </c>
      <c r="G1446" s="1">
        <v>42863</v>
      </c>
      <c r="H1446" s="1">
        <v>42983</v>
      </c>
      <c r="I1446">
        <v>1</v>
      </c>
      <c r="K1446" t="s">
        <v>7135</v>
      </c>
      <c r="L1446" t="s">
        <v>113</v>
      </c>
      <c r="M1446" t="s">
        <v>7136</v>
      </c>
      <c r="N1446">
        <v>628.29999999999905</v>
      </c>
      <c r="O1446" t="s">
        <v>7137</v>
      </c>
      <c r="P1446" t="s">
        <v>18</v>
      </c>
    </row>
    <row r="1447" spans="1:16" x14ac:dyDescent="0.35">
      <c r="A1447">
        <v>5022514</v>
      </c>
      <c r="B1447" t="s">
        <v>7138</v>
      </c>
      <c r="C1447" t="str">
        <f>"9783736995338"</f>
        <v>9783736995338</v>
      </c>
      <c r="D1447" t="str">
        <f>"9783736985339"</f>
        <v>9783736985339</v>
      </c>
      <c r="E1447" t="s">
        <v>2357</v>
      </c>
      <c r="F1447" t="s">
        <v>2357</v>
      </c>
      <c r="G1447" s="1">
        <v>42863</v>
      </c>
      <c r="H1447" s="1">
        <v>42983</v>
      </c>
      <c r="I1447">
        <v>1</v>
      </c>
      <c r="K1447" t="s">
        <v>7135</v>
      </c>
      <c r="L1447" t="s">
        <v>113</v>
      </c>
      <c r="M1447" t="s">
        <v>7139</v>
      </c>
      <c r="N1447">
        <v>628.44500000000005</v>
      </c>
      <c r="O1447" t="s">
        <v>7140</v>
      </c>
      <c r="P1447" t="s">
        <v>315</v>
      </c>
    </row>
    <row r="1448" spans="1:16" x14ac:dyDescent="0.35">
      <c r="A1448">
        <v>4842993</v>
      </c>
      <c r="B1448" t="s">
        <v>7141</v>
      </c>
      <c r="C1448" t="str">
        <f>"9780309450874"</f>
        <v>9780309450874</v>
      </c>
      <c r="D1448" t="str">
        <f>"9780309450881"</f>
        <v>9780309450881</v>
      </c>
      <c r="E1448" t="s">
        <v>531</v>
      </c>
      <c r="F1448" t="s">
        <v>531</v>
      </c>
      <c r="G1448" s="1">
        <v>42862</v>
      </c>
      <c r="H1448" s="1">
        <v>42840</v>
      </c>
      <c r="I1448">
        <v>1</v>
      </c>
      <c r="K1448" t="s">
        <v>7142</v>
      </c>
      <c r="L1448" t="s">
        <v>7143</v>
      </c>
      <c r="P1448" t="s">
        <v>18</v>
      </c>
    </row>
    <row r="1449" spans="1:16" x14ac:dyDescent="0.35">
      <c r="A1449">
        <v>4889997</v>
      </c>
      <c r="B1449" t="s">
        <v>7144</v>
      </c>
      <c r="C1449" t="str">
        <f>"9781442278820"</f>
        <v>9781442278820</v>
      </c>
      <c r="D1449" t="str">
        <f>"9781442278844"</f>
        <v>9781442278844</v>
      </c>
      <c r="E1449" t="s">
        <v>443</v>
      </c>
      <c r="F1449" t="s">
        <v>443</v>
      </c>
      <c r="G1449" s="1">
        <v>42860</v>
      </c>
      <c r="H1449" s="1">
        <v>42916</v>
      </c>
      <c r="J1449" t="s">
        <v>497</v>
      </c>
      <c r="K1449" t="s">
        <v>7145</v>
      </c>
      <c r="L1449" t="s">
        <v>287</v>
      </c>
      <c r="M1449" t="s">
        <v>7146</v>
      </c>
      <c r="N1449">
        <v>338.47910000000002</v>
      </c>
      <c r="O1449" t="s">
        <v>7147</v>
      </c>
      <c r="P1449" t="s">
        <v>18</v>
      </c>
    </row>
    <row r="1450" spans="1:16" x14ac:dyDescent="0.35">
      <c r="A1450">
        <v>5878092</v>
      </c>
      <c r="B1450" t="s">
        <v>7148</v>
      </c>
      <c r="C1450" t="str">
        <f>"9780500292945"</f>
        <v>9780500292945</v>
      </c>
      <c r="D1450" t="str">
        <f>"9780500773055"</f>
        <v>9780500773055</v>
      </c>
      <c r="E1450" t="s">
        <v>5336</v>
      </c>
      <c r="F1450" t="s">
        <v>5336</v>
      </c>
      <c r="G1450" s="1">
        <v>42857</v>
      </c>
      <c r="H1450" s="1">
        <v>43700</v>
      </c>
      <c r="I1450">
        <v>1</v>
      </c>
      <c r="K1450" t="s">
        <v>7149</v>
      </c>
      <c r="L1450" t="s">
        <v>202</v>
      </c>
      <c r="M1450" t="s">
        <v>7150</v>
      </c>
      <c r="N1450">
        <v>333.7</v>
      </c>
      <c r="O1450" t="s">
        <v>7151</v>
      </c>
      <c r="P1450" t="s">
        <v>18</v>
      </c>
    </row>
    <row r="1451" spans="1:16" x14ac:dyDescent="0.35">
      <c r="A1451">
        <v>4778923</v>
      </c>
      <c r="B1451" t="s">
        <v>7152</v>
      </c>
      <c r="C1451" t="str">
        <f>"9780761868644"</f>
        <v>9780761868644</v>
      </c>
      <c r="D1451" t="str">
        <f>"9780761868651"</f>
        <v>9780761868651</v>
      </c>
      <c r="E1451" t="s">
        <v>437</v>
      </c>
      <c r="F1451" t="s">
        <v>437</v>
      </c>
      <c r="G1451" s="1">
        <v>42851</v>
      </c>
      <c r="H1451" s="1">
        <v>42743</v>
      </c>
      <c r="K1451" t="s">
        <v>7153</v>
      </c>
      <c r="L1451" t="s">
        <v>26</v>
      </c>
      <c r="M1451" t="s">
        <v>7154</v>
      </c>
      <c r="N1451">
        <v>338.92700000000002</v>
      </c>
      <c r="O1451" t="s">
        <v>2625</v>
      </c>
      <c r="P1451" t="s">
        <v>18</v>
      </c>
    </row>
    <row r="1452" spans="1:16" x14ac:dyDescent="0.35">
      <c r="A1452">
        <v>5741279</v>
      </c>
      <c r="B1452" t="s">
        <v>7155</v>
      </c>
      <c r="C1452" t="str">
        <f>"9789004345553"</f>
        <v>9789004345553</v>
      </c>
      <c r="D1452" t="str">
        <f>"9789004345560"</f>
        <v>9789004345560</v>
      </c>
      <c r="E1452" t="s">
        <v>228</v>
      </c>
      <c r="F1452" t="s">
        <v>228</v>
      </c>
      <c r="G1452" s="1">
        <v>42851</v>
      </c>
      <c r="H1452" s="1">
        <v>43551</v>
      </c>
      <c r="I1452">
        <v>1</v>
      </c>
      <c r="J1452" t="s">
        <v>7156</v>
      </c>
      <c r="K1452" t="s">
        <v>7157</v>
      </c>
      <c r="L1452" t="s">
        <v>41</v>
      </c>
      <c r="M1452" t="s">
        <v>7158</v>
      </c>
      <c r="N1452">
        <v>338.95107000000002</v>
      </c>
      <c r="O1452" t="s">
        <v>7159</v>
      </c>
      <c r="P1452" t="s">
        <v>18</v>
      </c>
    </row>
    <row r="1453" spans="1:16" x14ac:dyDescent="0.35">
      <c r="A1453">
        <v>4833795</v>
      </c>
      <c r="B1453" t="s">
        <v>7160</v>
      </c>
      <c r="C1453" t="str">
        <f>"9780309456005"</f>
        <v>9780309456005</v>
      </c>
      <c r="D1453" t="str">
        <f>"9780309456012"</f>
        <v>9780309456012</v>
      </c>
      <c r="E1453" t="s">
        <v>531</v>
      </c>
      <c r="F1453" t="s">
        <v>531</v>
      </c>
      <c r="G1453" s="1">
        <v>42849</v>
      </c>
      <c r="H1453" s="1">
        <v>42825</v>
      </c>
      <c r="I1453">
        <v>1</v>
      </c>
      <c r="K1453" t="s">
        <v>7161</v>
      </c>
      <c r="L1453" t="s">
        <v>7162</v>
      </c>
      <c r="P1453" t="s">
        <v>18</v>
      </c>
    </row>
    <row r="1454" spans="1:16" x14ac:dyDescent="0.35">
      <c r="A1454">
        <v>4843180</v>
      </c>
      <c r="B1454" t="s">
        <v>7163</v>
      </c>
      <c r="C1454" t="str">
        <f>"9780128053560"</f>
        <v>9780128053560</v>
      </c>
      <c r="D1454" t="str">
        <f>"9780128093061"</f>
        <v>9780128093061</v>
      </c>
      <c r="E1454" t="s">
        <v>190</v>
      </c>
      <c r="F1454" t="s">
        <v>191</v>
      </c>
      <c r="G1454" s="1">
        <v>42845</v>
      </c>
      <c r="H1454" s="1">
        <v>42842</v>
      </c>
      <c r="K1454" t="s">
        <v>7164</v>
      </c>
      <c r="L1454" t="s">
        <v>379</v>
      </c>
      <c r="M1454" t="s">
        <v>7165</v>
      </c>
      <c r="N1454">
        <v>338.96</v>
      </c>
      <c r="P1454" t="s">
        <v>18</v>
      </c>
    </row>
    <row r="1455" spans="1:16" x14ac:dyDescent="0.35">
      <c r="A1455">
        <v>4860833</v>
      </c>
      <c r="B1455" t="s">
        <v>7166</v>
      </c>
      <c r="C1455" t="str">
        <f>"9789463510301"</f>
        <v>9789463510301</v>
      </c>
      <c r="D1455" t="str">
        <f>"9789463510325"</f>
        <v>9789463510325</v>
      </c>
      <c r="E1455" t="s">
        <v>228</v>
      </c>
      <c r="F1455" t="s">
        <v>549</v>
      </c>
      <c r="G1455" s="1">
        <v>42840</v>
      </c>
      <c r="H1455" s="1">
        <v>42873</v>
      </c>
      <c r="I1455">
        <v>1</v>
      </c>
      <c r="J1455" t="s">
        <v>552</v>
      </c>
      <c r="K1455" t="s">
        <v>7167</v>
      </c>
      <c r="L1455" t="s">
        <v>30</v>
      </c>
      <c r="M1455" t="s">
        <v>7168</v>
      </c>
      <c r="N1455">
        <v>370.19346098099902</v>
      </c>
      <c r="O1455" t="s">
        <v>7169</v>
      </c>
      <c r="P1455" t="s">
        <v>18</v>
      </c>
    </row>
    <row r="1456" spans="1:16" x14ac:dyDescent="0.35">
      <c r="A1456">
        <v>4856576</v>
      </c>
      <c r="B1456" t="s">
        <v>7170</v>
      </c>
      <c r="C1456" t="str">
        <f>"9783631720660"</f>
        <v>9783631720660</v>
      </c>
      <c r="D1456" t="str">
        <f>"9783631720875"</f>
        <v>9783631720875</v>
      </c>
      <c r="E1456" t="s">
        <v>2432</v>
      </c>
      <c r="F1456" t="s">
        <v>2432</v>
      </c>
      <c r="G1456" s="1">
        <v>42837</v>
      </c>
      <c r="H1456" s="1">
        <v>42865</v>
      </c>
      <c r="I1456">
        <v>1</v>
      </c>
      <c r="K1456" t="s">
        <v>7171</v>
      </c>
      <c r="L1456" t="s">
        <v>30</v>
      </c>
      <c r="M1456" t="s">
        <v>7172</v>
      </c>
      <c r="N1456">
        <v>370.11700000000002</v>
      </c>
      <c r="O1456" t="s">
        <v>304</v>
      </c>
      <c r="P1456" t="s">
        <v>18</v>
      </c>
    </row>
    <row r="1457" spans="1:16" x14ac:dyDescent="0.35">
      <c r="A1457">
        <v>5878042</v>
      </c>
      <c r="B1457" t="s">
        <v>7173</v>
      </c>
      <c r="C1457" t="str">
        <f>"9780500292778"</f>
        <v>9780500292778</v>
      </c>
      <c r="D1457" t="str">
        <f>"9780500773833"</f>
        <v>9780500773833</v>
      </c>
      <c r="E1457" t="s">
        <v>5336</v>
      </c>
      <c r="F1457" t="s">
        <v>5336</v>
      </c>
      <c r="G1457" s="1">
        <v>42836</v>
      </c>
      <c r="H1457" s="1">
        <v>43881</v>
      </c>
      <c r="I1457">
        <v>1</v>
      </c>
      <c r="K1457" t="s">
        <v>7174</v>
      </c>
      <c r="L1457" t="s">
        <v>498</v>
      </c>
      <c r="M1457" t="s">
        <v>7175</v>
      </c>
      <c r="N1457">
        <v>646.29999999999905</v>
      </c>
      <c r="O1457" t="s">
        <v>7176</v>
      </c>
      <c r="P1457" t="s">
        <v>18</v>
      </c>
    </row>
    <row r="1458" spans="1:16" x14ac:dyDescent="0.35">
      <c r="A1458">
        <v>4838378</v>
      </c>
      <c r="B1458" t="s">
        <v>7177</v>
      </c>
      <c r="C1458" t="str">
        <f>"9780128105214"</f>
        <v>9780128105214</v>
      </c>
      <c r="D1458" t="str">
        <f>"9780128105221"</f>
        <v>9780128105221</v>
      </c>
      <c r="E1458" t="s">
        <v>190</v>
      </c>
      <c r="F1458" t="s">
        <v>191</v>
      </c>
      <c r="G1458" s="1">
        <v>42835</v>
      </c>
      <c r="H1458" s="1">
        <v>42834</v>
      </c>
      <c r="K1458" t="s">
        <v>7178</v>
      </c>
      <c r="L1458" t="s">
        <v>3341</v>
      </c>
      <c r="M1458" t="s">
        <v>7179</v>
      </c>
      <c r="N1458" t="s">
        <v>336</v>
      </c>
      <c r="O1458" t="s">
        <v>7180</v>
      </c>
      <c r="P1458" t="s">
        <v>18</v>
      </c>
    </row>
    <row r="1459" spans="1:16" x14ac:dyDescent="0.35">
      <c r="A1459">
        <v>4856731</v>
      </c>
      <c r="B1459" t="s">
        <v>7181</v>
      </c>
      <c r="C1459" t="str">
        <f>"9781787148093"</f>
        <v>9781787148093</v>
      </c>
      <c r="D1459" t="str">
        <f>"9781787148109"</f>
        <v>9781787148109</v>
      </c>
      <c r="E1459" t="s">
        <v>187</v>
      </c>
      <c r="F1459" t="s">
        <v>187</v>
      </c>
      <c r="G1459" s="1">
        <v>42835</v>
      </c>
      <c r="H1459" s="1">
        <v>42865</v>
      </c>
      <c r="J1459" t="s">
        <v>7182</v>
      </c>
      <c r="K1459" t="s">
        <v>7183</v>
      </c>
      <c r="L1459" t="s">
        <v>525</v>
      </c>
      <c r="M1459" t="s">
        <v>7184</v>
      </c>
      <c r="N1459">
        <v>658.40380285000003</v>
      </c>
      <c r="O1459" t="s">
        <v>7185</v>
      </c>
      <c r="P1459" t="s">
        <v>18</v>
      </c>
    </row>
    <row r="1460" spans="1:16" x14ac:dyDescent="0.35">
      <c r="A1460">
        <v>5603513</v>
      </c>
      <c r="B1460" t="s">
        <v>7186</v>
      </c>
      <c r="C1460" t="str">
        <f>"9781506361901"</f>
        <v>9781506361901</v>
      </c>
      <c r="D1460" t="str">
        <f>"9781506361895"</f>
        <v>9781506361895</v>
      </c>
      <c r="E1460" t="s">
        <v>482</v>
      </c>
      <c r="F1460" t="s">
        <v>482</v>
      </c>
      <c r="G1460" s="1">
        <v>42829</v>
      </c>
      <c r="H1460" s="1">
        <v>43432</v>
      </c>
      <c r="I1460">
        <v>1</v>
      </c>
      <c r="J1460" t="s">
        <v>2383</v>
      </c>
      <c r="K1460" t="s">
        <v>7187</v>
      </c>
      <c r="L1460" t="s">
        <v>30</v>
      </c>
      <c r="N1460">
        <v>371.26028500000001</v>
      </c>
      <c r="P1460" t="s">
        <v>18</v>
      </c>
    </row>
    <row r="1461" spans="1:16" x14ac:dyDescent="0.35">
      <c r="A1461">
        <v>4831221</v>
      </c>
      <c r="B1461" t="s">
        <v>7188</v>
      </c>
      <c r="C1461" t="str">
        <f>""</f>
        <v/>
      </c>
      <c r="D1461" t="str">
        <f>"9781522514206"</f>
        <v>9781522514206</v>
      </c>
      <c r="E1461" t="s">
        <v>138</v>
      </c>
      <c r="F1461" t="s">
        <v>7189</v>
      </c>
      <c r="G1461" s="1">
        <v>42826</v>
      </c>
      <c r="H1461" s="1">
        <v>42822</v>
      </c>
      <c r="K1461" t="s">
        <v>2410</v>
      </c>
      <c r="L1461" t="s">
        <v>38</v>
      </c>
      <c r="M1461" t="s">
        <v>7190</v>
      </c>
      <c r="N1461">
        <v>305</v>
      </c>
      <c r="O1461" t="s">
        <v>6992</v>
      </c>
      <c r="P1461" t="s">
        <v>18</v>
      </c>
    </row>
    <row r="1462" spans="1:16" x14ac:dyDescent="0.35">
      <c r="A1462">
        <v>4847954</v>
      </c>
      <c r="B1462" t="s">
        <v>7191</v>
      </c>
      <c r="C1462" t="str">
        <f>""</f>
        <v/>
      </c>
      <c r="D1462" t="str">
        <f>"9781522515340"</f>
        <v>9781522515340</v>
      </c>
      <c r="E1462" t="s">
        <v>138</v>
      </c>
      <c r="F1462" t="s">
        <v>7189</v>
      </c>
      <c r="G1462" s="1">
        <v>42826</v>
      </c>
      <c r="H1462" s="1">
        <v>42851</v>
      </c>
      <c r="K1462" t="s">
        <v>3292</v>
      </c>
      <c r="L1462" t="s">
        <v>283</v>
      </c>
      <c r="M1462" t="s">
        <v>7192</v>
      </c>
      <c r="N1462">
        <v>363.70049999999901</v>
      </c>
      <c r="O1462" t="s">
        <v>7193</v>
      </c>
      <c r="P1462" t="s">
        <v>18</v>
      </c>
    </row>
    <row r="1463" spans="1:16" x14ac:dyDescent="0.35">
      <c r="A1463">
        <v>4836976</v>
      </c>
      <c r="B1463" t="s">
        <v>7194</v>
      </c>
      <c r="C1463" t="str">
        <f>"9781522522867"</f>
        <v>9781522522867</v>
      </c>
      <c r="D1463" t="str">
        <f>"9781522522874"</f>
        <v>9781522522874</v>
      </c>
      <c r="E1463" t="s">
        <v>138</v>
      </c>
      <c r="F1463" t="s">
        <v>1789</v>
      </c>
      <c r="G1463" s="1">
        <v>42825</v>
      </c>
      <c r="H1463" s="1">
        <v>42831</v>
      </c>
      <c r="K1463" t="s">
        <v>7195</v>
      </c>
      <c r="L1463" t="s">
        <v>427</v>
      </c>
      <c r="M1463" t="s">
        <v>7196</v>
      </c>
      <c r="N1463">
        <v>333.79399999999902</v>
      </c>
      <c r="O1463" t="s">
        <v>7197</v>
      </c>
      <c r="P1463" t="s">
        <v>18</v>
      </c>
    </row>
    <row r="1464" spans="1:16" x14ac:dyDescent="0.35">
      <c r="A1464">
        <v>4832767</v>
      </c>
      <c r="B1464" t="s">
        <v>7198</v>
      </c>
      <c r="C1464" t="str">
        <f>"9780128098707"</f>
        <v>9780128098707</v>
      </c>
      <c r="D1464" t="str">
        <f>"9780128098714"</f>
        <v>9780128098714</v>
      </c>
      <c r="E1464" t="s">
        <v>190</v>
      </c>
      <c r="F1464" t="s">
        <v>191</v>
      </c>
      <c r="G1464" s="1">
        <v>42824</v>
      </c>
      <c r="H1464" s="1">
        <v>42823</v>
      </c>
      <c r="K1464" t="s">
        <v>7131</v>
      </c>
      <c r="L1464" t="s">
        <v>544</v>
      </c>
      <c r="M1464" t="s">
        <v>7199</v>
      </c>
      <c r="N1464">
        <v>634.79999999999995</v>
      </c>
      <c r="O1464" t="s">
        <v>515</v>
      </c>
      <c r="P1464" t="s">
        <v>18</v>
      </c>
    </row>
    <row r="1465" spans="1:16" x14ac:dyDescent="0.35">
      <c r="A1465">
        <v>4813095</v>
      </c>
      <c r="B1465" t="s">
        <v>7200</v>
      </c>
      <c r="C1465" t="str">
        <f>"9780749479459"</f>
        <v>9780749479459</v>
      </c>
      <c r="D1465" t="str">
        <f>"9780749479466"</f>
        <v>9780749479466</v>
      </c>
      <c r="E1465" t="s">
        <v>215</v>
      </c>
      <c r="F1465" t="s">
        <v>215</v>
      </c>
      <c r="G1465" s="1">
        <v>42822</v>
      </c>
      <c r="H1465" s="1">
        <v>42795</v>
      </c>
      <c r="I1465">
        <v>1</v>
      </c>
      <c r="K1465" t="s">
        <v>7201</v>
      </c>
      <c r="L1465" t="s">
        <v>159</v>
      </c>
      <c r="M1465" t="s">
        <v>7202</v>
      </c>
      <c r="N1465">
        <v>174.4</v>
      </c>
      <c r="O1465" t="s">
        <v>7203</v>
      </c>
      <c r="P1465" t="s">
        <v>18</v>
      </c>
    </row>
    <row r="1466" spans="1:16" x14ac:dyDescent="0.35">
      <c r="A1466">
        <v>4829904</v>
      </c>
      <c r="B1466" t="s">
        <v>7204</v>
      </c>
      <c r="C1466" t="str">
        <f>"9780081007075"</f>
        <v>9780081007075</v>
      </c>
      <c r="D1466" t="str">
        <f>"9780081007068"</f>
        <v>9780081007068</v>
      </c>
      <c r="E1466" t="s">
        <v>190</v>
      </c>
      <c r="F1466" t="s">
        <v>280</v>
      </c>
      <c r="G1466" s="1">
        <v>42822</v>
      </c>
      <c r="H1466" s="1">
        <v>42819</v>
      </c>
      <c r="J1466" t="s">
        <v>487</v>
      </c>
      <c r="K1466" t="s">
        <v>7205</v>
      </c>
      <c r="L1466" t="s">
        <v>7206</v>
      </c>
      <c r="M1466" t="s">
        <v>7207</v>
      </c>
      <c r="N1466">
        <v>691</v>
      </c>
      <c r="O1466" t="s">
        <v>7208</v>
      </c>
      <c r="P1466" t="s">
        <v>18</v>
      </c>
    </row>
    <row r="1467" spans="1:16" x14ac:dyDescent="0.35">
      <c r="A1467">
        <v>4827606</v>
      </c>
      <c r="B1467" t="s">
        <v>7209</v>
      </c>
      <c r="C1467" t="str">
        <f>"9781522524588"</f>
        <v>9781522524588</v>
      </c>
      <c r="D1467" t="str">
        <f>"9781522524595"</f>
        <v>9781522524595</v>
      </c>
      <c r="E1467" t="s">
        <v>138</v>
      </c>
      <c r="F1467" t="s">
        <v>1769</v>
      </c>
      <c r="G1467" s="1">
        <v>42815</v>
      </c>
      <c r="H1467" s="1">
        <v>42817</v>
      </c>
      <c r="K1467" t="s">
        <v>7210</v>
      </c>
      <c r="L1467" t="s">
        <v>368</v>
      </c>
      <c r="M1467" t="s">
        <v>7211</v>
      </c>
      <c r="N1467">
        <v>338.92700000000002</v>
      </c>
      <c r="O1467" t="s">
        <v>503</v>
      </c>
      <c r="P1467" t="s">
        <v>18</v>
      </c>
    </row>
    <row r="1468" spans="1:16" x14ac:dyDescent="0.35">
      <c r="A1468">
        <v>4822540</v>
      </c>
      <c r="B1468" t="s">
        <v>7212</v>
      </c>
      <c r="C1468" t="str">
        <f>"9780128052006"</f>
        <v>9780128052006</v>
      </c>
      <c r="D1468" t="str">
        <f>"9780128052013"</f>
        <v>9780128052013</v>
      </c>
      <c r="E1468" t="s">
        <v>1699</v>
      </c>
      <c r="F1468" t="s">
        <v>1699</v>
      </c>
      <c r="G1468" s="1">
        <v>42814</v>
      </c>
      <c r="H1468" s="1">
        <v>42809</v>
      </c>
      <c r="K1468" t="s">
        <v>7213</v>
      </c>
      <c r="L1468" t="s">
        <v>339</v>
      </c>
      <c r="M1468" t="s">
        <v>7214</v>
      </c>
      <c r="N1468">
        <v>333.73129999999998</v>
      </c>
      <c r="O1468" t="s">
        <v>7215</v>
      </c>
      <c r="P1468" t="s">
        <v>18</v>
      </c>
    </row>
    <row r="1469" spans="1:16" x14ac:dyDescent="0.35">
      <c r="A1469">
        <v>4812414</v>
      </c>
      <c r="B1469" t="s">
        <v>7216</v>
      </c>
      <c r="C1469" t="str">
        <f>"9780309440370"</f>
        <v>9780309440370</v>
      </c>
      <c r="D1469" t="str">
        <f>"9780309440387"</f>
        <v>9780309440387</v>
      </c>
      <c r="E1469" t="s">
        <v>531</v>
      </c>
      <c r="F1469" t="s">
        <v>531</v>
      </c>
      <c r="G1469" s="1">
        <v>42810</v>
      </c>
      <c r="H1469" s="1">
        <v>42791</v>
      </c>
      <c r="I1469">
        <v>1</v>
      </c>
      <c r="K1469" t="s">
        <v>7217</v>
      </c>
      <c r="L1469" t="s">
        <v>7218</v>
      </c>
      <c r="P1469" t="s">
        <v>18</v>
      </c>
    </row>
    <row r="1470" spans="1:16" x14ac:dyDescent="0.35">
      <c r="A1470">
        <v>4837404</v>
      </c>
      <c r="B1470" t="s">
        <v>7219</v>
      </c>
      <c r="C1470" t="str">
        <f>"9783631660744"</f>
        <v>9783631660744</v>
      </c>
      <c r="D1470" t="str">
        <f>"9783631718179"</f>
        <v>9783631718179</v>
      </c>
      <c r="E1470" t="s">
        <v>2432</v>
      </c>
      <c r="F1470" t="s">
        <v>2432</v>
      </c>
      <c r="G1470" s="1">
        <v>42810</v>
      </c>
      <c r="H1470" s="1">
        <v>42832</v>
      </c>
      <c r="I1470">
        <v>1</v>
      </c>
      <c r="J1470" t="s">
        <v>7220</v>
      </c>
      <c r="K1470" t="s">
        <v>7221</v>
      </c>
      <c r="L1470" t="s">
        <v>49</v>
      </c>
      <c r="M1470" t="s">
        <v>7222</v>
      </c>
      <c r="N1470" t="s">
        <v>7223</v>
      </c>
      <c r="O1470" t="s">
        <v>7224</v>
      </c>
      <c r="P1470" t="s">
        <v>18</v>
      </c>
    </row>
    <row r="1471" spans="1:16" x14ac:dyDescent="0.35">
      <c r="A1471">
        <v>4827588</v>
      </c>
      <c r="B1471" t="s">
        <v>7225</v>
      </c>
      <c r="C1471" t="str">
        <f>"9781522525653"</f>
        <v>9781522525653</v>
      </c>
      <c r="D1471" t="str">
        <f>"9781522525660"</f>
        <v>9781522525660</v>
      </c>
      <c r="E1471" t="s">
        <v>138</v>
      </c>
      <c r="F1471" t="s">
        <v>1789</v>
      </c>
      <c r="G1471" s="1">
        <v>42804</v>
      </c>
      <c r="H1471" s="1">
        <v>42817</v>
      </c>
      <c r="K1471" t="s">
        <v>7226</v>
      </c>
      <c r="L1471" t="s">
        <v>135</v>
      </c>
      <c r="M1471" t="s">
        <v>7227</v>
      </c>
      <c r="N1471" t="s">
        <v>528</v>
      </c>
      <c r="O1471" t="s">
        <v>7228</v>
      </c>
      <c r="P1471" t="s">
        <v>18</v>
      </c>
    </row>
    <row r="1472" spans="1:16" x14ac:dyDescent="0.35">
      <c r="A1472">
        <v>4831642</v>
      </c>
      <c r="B1472" t="s">
        <v>7229</v>
      </c>
      <c r="C1472" t="str">
        <f>""</f>
        <v/>
      </c>
      <c r="D1472" t="str">
        <f>"9781780648637"</f>
        <v>9781780648637</v>
      </c>
      <c r="E1472" t="s">
        <v>332</v>
      </c>
      <c r="F1472" t="s">
        <v>333</v>
      </c>
      <c r="G1472" s="1">
        <v>42804</v>
      </c>
      <c r="H1472" s="1">
        <v>42822</v>
      </c>
      <c r="K1472" t="s">
        <v>7230</v>
      </c>
      <c r="L1472" t="s">
        <v>245</v>
      </c>
      <c r="M1472" t="s">
        <v>7231</v>
      </c>
      <c r="N1472">
        <v>910.91129999999896</v>
      </c>
      <c r="O1472" t="s">
        <v>7232</v>
      </c>
      <c r="P1472" t="s">
        <v>18</v>
      </c>
    </row>
    <row r="1473" spans="1:16" x14ac:dyDescent="0.35">
      <c r="A1473">
        <v>5019301</v>
      </c>
      <c r="B1473" t="s">
        <v>7233</v>
      </c>
      <c r="C1473" t="str">
        <f>"9783736994973"</f>
        <v>9783736994973</v>
      </c>
      <c r="D1473" t="str">
        <f>"9783736984974"</f>
        <v>9783736984974</v>
      </c>
      <c r="E1473" t="s">
        <v>2357</v>
      </c>
      <c r="F1473" t="s">
        <v>2357</v>
      </c>
      <c r="G1473" s="1">
        <v>42796</v>
      </c>
      <c r="H1473" s="1">
        <v>42983</v>
      </c>
      <c r="I1473">
        <v>1</v>
      </c>
      <c r="K1473" t="s">
        <v>7234</v>
      </c>
      <c r="L1473" t="s">
        <v>358</v>
      </c>
      <c r="M1473" t="s">
        <v>7235</v>
      </c>
      <c r="N1473">
        <v>333.75160992999901</v>
      </c>
      <c r="O1473" t="s">
        <v>7236</v>
      </c>
      <c r="P1473" t="s">
        <v>18</v>
      </c>
    </row>
    <row r="1474" spans="1:16" x14ac:dyDescent="0.35">
      <c r="A1474">
        <v>4761128</v>
      </c>
      <c r="B1474" t="s">
        <v>7237</v>
      </c>
      <c r="C1474" t="str">
        <f>"9783035710700"</f>
        <v>9783035710700</v>
      </c>
      <c r="D1474" t="str">
        <f>"9783035730708"</f>
        <v>9783035730708</v>
      </c>
      <c r="E1474" t="s">
        <v>1649</v>
      </c>
      <c r="F1474" t="s">
        <v>1649</v>
      </c>
      <c r="G1474" s="1">
        <v>42788</v>
      </c>
      <c r="H1474" s="1">
        <v>42881</v>
      </c>
      <c r="I1474">
        <v>1</v>
      </c>
      <c r="J1474" t="s">
        <v>4195</v>
      </c>
      <c r="K1474" t="s">
        <v>7238</v>
      </c>
      <c r="L1474" t="s">
        <v>5185</v>
      </c>
      <c r="P1474" t="s">
        <v>18</v>
      </c>
    </row>
    <row r="1475" spans="1:16" x14ac:dyDescent="0.35">
      <c r="A1475">
        <v>4812433</v>
      </c>
      <c r="B1475" t="s">
        <v>7239</v>
      </c>
      <c r="C1475" t="str">
        <f>"9781522523710"</f>
        <v>9781522523710</v>
      </c>
      <c r="D1475" t="str">
        <f>"9781522523727"</f>
        <v>9781522523727</v>
      </c>
      <c r="E1475" t="s">
        <v>138</v>
      </c>
      <c r="F1475" t="s">
        <v>1769</v>
      </c>
      <c r="G1475" s="1">
        <v>42788</v>
      </c>
      <c r="H1475" s="1">
        <v>42791</v>
      </c>
      <c r="K1475" t="s">
        <v>7240</v>
      </c>
      <c r="L1475" t="s">
        <v>28</v>
      </c>
      <c r="M1475" t="s">
        <v>7241</v>
      </c>
      <c r="N1475" t="s">
        <v>369</v>
      </c>
      <c r="O1475" t="s">
        <v>7242</v>
      </c>
      <c r="P1475" t="s">
        <v>18</v>
      </c>
    </row>
    <row r="1476" spans="1:16" x14ac:dyDescent="0.35">
      <c r="A1476">
        <v>4818552</v>
      </c>
      <c r="B1476" t="s">
        <v>7243</v>
      </c>
      <c r="C1476" t="str">
        <f>"9782807601871"</f>
        <v>9782807601871</v>
      </c>
      <c r="D1476" t="str">
        <f>"9782807601888"</f>
        <v>9782807601888</v>
      </c>
      <c r="E1476" t="s">
        <v>5060</v>
      </c>
      <c r="F1476" t="s">
        <v>7004</v>
      </c>
      <c r="G1476" s="1">
        <v>42786</v>
      </c>
      <c r="H1476" s="1">
        <v>42801</v>
      </c>
      <c r="I1476">
        <v>1</v>
      </c>
      <c r="J1476" t="s">
        <v>7244</v>
      </c>
      <c r="K1476" t="s">
        <v>7245</v>
      </c>
      <c r="L1476" t="s">
        <v>41</v>
      </c>
      <c r="M1476" t="s">
        <v>7246</v>
      </c>
      <c r="N1476">
        <v>338.92700000000002</v>
      </c>
      <c r="O1476" t="s">
        <v>503</v>
      </c>
      <c r="P1476" t="s">
        <v>232</v>
      </c>
    </row>
    <row r="1477" spans="1:16" x14ac:dyDescent="0.35">
      <c r="A1477">
        <v>4819418</v>
      </c>
      <c r="B1477" t="s">
        <v>7247</v>
      </c>
      <c r="C1477" t="str">
        <f>"9789086863037"</f>
        <v>9789086863037</v>
      </c>
      <c r="D1477" t="str">
        <f>"9789086868469"</f>
        <v>9789086868469</v>
      </c>
      <c r="E1477" t="s">
        <v>2565</v>
      </c>
      <c r="F1477" t="s">
        <v>2565</v>
      </c>
      <c r="G1477" s="1">
        <v>42782</v>
      </c>
      <c r="H1477" s="1">
        <v>42802</v>
      </c>
      <c r="I1477">
        <v>1</v>
      </c>
      <c r="K1477" t="s">
        <v>7248</v>
      </c>
      <c r="L1477" t="s">
        <v>105</v>
      </c>
      <c r="M1477" t="s">
        <v>7249</v>
      </c>
      <c r="N1477">
        <v>363.70071000000002</v>
      </c>
      <c r="O1477" t="s">
        <v>4148</v>
      </c>
      <c r="P1477" t="s">
        <v>18</v>
      </c>
    </row>
    <row r="1478" spans="1:16" x14ac:dyDescent="0.35">
      <c r="A1478">
        <v>4761122</v>
      </c>
      <c r="B1478" t="s">
        <v>7250</v>
      </c>
      <c r="C1478" t="str">
        <f>"9783035710571"</f>
        <v>9783035710571</v>
      </c>
      <c r="D1478" t="str">
        <f>"9783035730579"</f>
        <v>9783035730579</v>
      </c>
      <c r="E1478" t="s">
        <v>1649</v>
      </c>
      <c r="F1478" t="s">
        <v>1649</v>
      </c>
      <c r="G1478" s="1">
        <v>42781</v>
      </c>
      <c r="H1478" s="1">
        <v>42881</v>
      </c>
      <c r="I1478">
        <v>1</v>
      </c>
      <c r="J1478" t="s">
        <v>4195</v>
      </c>
      <c r="K1478" t="s">
        <v>7251</v>
      </c>
      <c r="L1478" t="s">
        <v>5185</v>
      </c>
      <c r="P1478" t="s">
        <v>18</v>
      </c>
    </row>
    <row r="1479" spans="1:16" x14ac:dyDescent="0.35">
      <c r="A1479">
        <v>4805799</v>
      </c>
      <c r="B1479" t="s">
        <v>7252</v>
      </c>
      <c r="C1479" t="str">
        <f>"9781522521167"</f>
        <v>9781522521167</v>
      </c>
      <c r="D1479" t="str">
        <f>"9781522521174"</f>
        <v>9781522521174</v>
      </c>
      <c r="E1479" t="s">
        <v>138</v>
      </c>
      <c r="F1479" t="s">
        <v>1764</v>
      </c>
      <c r="G1479" s="1">
        <v>42780</v>
      </c>
      <c r="H1479" s="1">
        <v>42782</v>
      </c>
      <c r="K1479" t="s">
        <v>7253</v>
      </c>
      <c r="L1479" t="s">
        <v>7254</v>
      </c>
      <c r="M1479" t="s">
        <v>7255</v>
      </c>
      <c r="N1479" t="s">
        <v>7256</v>
      </c>
      <c r="O1479" t="s">
        <v>7257</v>
      </c>
      <c r="P1479" t="s">
        <v>18</v>
      </c>
    </row>
    <row r="1480" spans="1:16" x14ac:dyDescent="0.35">
      <c r="A1480">
        <v>4761129</v>
      </c>
      <c r="B1480" t="s">
        <v>7258</v>
      </c>
      <c r="C1480" t="str">
        <f>"9783035710793"</f>
        <v>9783035710793</v>
      </c>
      <c r="D1480" t="str">
        <f>"9783035730791"</f>
        <v>9783035730791</v>
      </c>
      <c r="E1480" t="s">
        <v>1649</v>
      </c>
      <c r="F1480" t="s">
        <v>1649</v>
      </c>
      <c r="G1480" s="1">
        <v>42776</v>
      </c>
      <c r="H1480" s="1">
        <v>42881</v>
      </c>
      <c r="I1480">
        <v>1</v>
      </c>
      <c r="J1480" t="s">
        <v>1671</v>
      </c>
      <c r="K1480" t="s">
        <v>6786</v>
      </c>
      <c r="L1480" t="s">
        <v>7259</v>
      </c>
      <c r="P1480" t="s">
        <v>18</v>
      </c>
    </row>
    <row r="1481" spans="1:16" x14ac:dyDescent="0.35">
      <c r="A1481">
        <v>4818642</v>
      </c>
      <c r="B1481" t="s">
        <v>7260</v>
      </c>
      <c r="C1481" t="str">
        <f>"9783631717578"</f>
        <v>9783631717578</v>
      </c>
      <c r="D1481" t="str">
        <f>"9783631718681"</f>
        <v>9783631718681</v>
      </c>
      <c r="E1481" t="s">
        <v>2432</v>
      </c>
      <c r="F1481" t="s">
        <v>2432</v>
      </c>
      <c r="G1481" s="1">
        <v>42773</v>
      </c>
      <c r="H1481" s="1">
        <v>42801</v>
      </c>
      <c r="I1481">
        <v>1</v>
      </c>
      <c r="J1481" t="s">
        <v>7261</v>
      </c>
      <c r="K1481" t="s">
        <v>7262</v>
      </c>
      <c r="L1481" t="s">
        <v>41</v>
      </c>
      <c r="M1481" t="s">
        <v>7263</v>
      </c>
      <c r="N1481">
        <v>338.92700000000002</v>
      </c>
      <c r="O1481" t="s">
        <v>503</v>
      </c>
      <c r="P1481" t="s">
        <v>315</v>
      </c>
    </row>
    <row r="1482" spans="1:16" x14ac:dyDescent="0.35">
      <c r="A1482">
        <v>4793550</v>
      </c>
      <c r="B1482" t="s">
        <v>7264</v>
      </c>
      <c r="C1482" t="str">
        <f>"9780081007839"</f>
        <v>9780081007839</v>
      </c>
      <c r="D1482" t="str">
        <f>"9780081008003"</f>
        <v>9780081008003</v>
      </c>
      <c r="E1482" t="s">
        <v>190</v>
      </c>
      <c r="F1482" t="s">
        <v>280</v>
      </c>
      <c r="G1482" s="1">
        <v>42767</v>
      </c>
      <c r="H1482" s="1">
        <v>42765</v>
      </c>
      <c r="I1482">
        <v>2</v>
      </c>
      <c r="J1482" t="s">
        <v>486</v>
      </c>
      <c r="K1482" t="s">
        <v>7265</v>
      </c>
      <c r="L1482" t="s">
        <v>85</v>
      </c>
      <c r="M1482" t="s">
        <v>7266</v>
      </c>
      <c r="N1482" t="s">
        <v>7267</v>
      </c>
      <c r="O1482" t="s">
        <v>3929</v>
      </c>
      <c r="P1482" t="s">
        <v>18</v>
      </c>
    </row>
    <row r="1483" spans="1:16" x14ac:dyDescent="0.35">
      <c r="A1483">
        <v>5019619</v>
      </c>
      <c r="B1483" t="s">
        <v>7268</v>
      </c>
      <c r="C1483" t="str">
        <f>"9783736994539"</f>
        <v>9783736994539</v>
      </c>
      <c r="D1483" t="str">
        <f>"9783736984530"</f>
        <v>9783736984530</v>
      </c>
      <c r="E1483" t="s">
        <v>2357</v>
      </c>
      <c r="F1483" t="s">
        <v>2357</v>
      </c>
      <c r="G1483" s="1">
        <v>42762</v>
      </c>
      <c r="H1483" s="1">
        <v>42983</v>
      </c>
      <c r="I1483">
        <v>1</v>
      </c>
      <c r="K1483" t="s">
        <v>6948</v>
      </c>
      <c r="L1483" t="s">
        <v>7269</v>
      </c>
      <c r="M1483" t="s">
        <v>7270</v>
      </c>
      <c r="N1483">
        <v>333.91</v>
      </c>
      <c r="O1483" t="s">
        <v>7271</v>
      </c>
      <c r="P1483" t="s">
        <v>18</v>
      </c>
    </row>
    <row r="1484" spans="1:16" x14ac:dyDescent="0.35">
      <c r="A1484">
        <v>5022560</v>
      </c>
      <c r="B1484" t="s">
        <v>7272</v>
      </c>
      <c r="C1484" t="str">
        <f>"9783736994546"</f>
        <v>9783736994546</v>
      </c>
      <c r="D1484" t="str">
        <f>"9783736984547"</f>
        <v>9783736984547</v>
      </c>
      <c r="E1484" t="s">
        <v>2357</v>
      </c>
      <c r="F1484" t="s">
        <v>2357</v>
      </c>
      <c r="G1484" s="1">
        <v>42762</v>
      </c>
      <c r="H1484" s="1">
        <v>42983</v>
      </c>
      <c r="I1484">
        <v>1</v>
      </c>
      <c r="K1484" t="s">
        <v>6948</v>
      </c>
      <c r="L1484" t="s">
        <v>7273</v>
      </c>
      <c r="M1484" t="s">
        <v>7274</v>
      </c>
      <c r="N1484">
        <v>333.91</v>
      </c>
      <c r="O1484" t="s">
        <v>7275</v>
      </c>
      <c r="P1484" t="s">
        <v>18</v>
      </c>
    </row>
    <row r="1485" spans="1:16" x14ac:dyDescent="0.35">
      <c r="A1485">
        <v>4790770</v>
      </c>
      <c r="B1485" t="s">
        <v>7276</v>
      </c>
      <c r="C1485" t="str">
        <f>"9780128095737"</f>
        <v>9780128095737</v>
      </c>
      <c r="D1485" t="str">
        <f>"9780128095355"</f>
        <v>9780128095355</v>
      </c>
      <c r="E1485" t="s">
        <v>1699</v>
      </c>
      <c r="F1485" t="s">
        <v>1699</v>
      </c>
      <c r="G1485" s="1">
        <v>42761</v>
      </c>
      <c r="H1485" s="1">
        <v>42760</v>
      </c>
      <c r="K1485" t="s">
        <v>7277</v>
      </c>
      <c r="L1485" t="s">
        <v>7278</v>
      </c>
      <c r="M1485" t="s">
        <v>7279</v>
      </c>
      <c r="N1485">
        <v>622.33849999999995</v>
      </c>
      <c r="O1485" t="s">
        <v>7280</v>
      </c>
      <c r="P1485" t="s">
        <v>18</v>
      </c>
    </row>
    <row r="1486" spans="1:16" x14ac:dyDescent="0.35">
      <c r="A1486">
        <v>4789099</v>
      </c>
      <c r="B1486" t="s">
        <v>7281</v>
      </c>
      <c r="C1486" t="str">
        <f>"9781522523314"</f>
        <v>9781522523314</v>
      </c>
      <c r="D1486" t="str">
        <f>"9781522523321"</f>
        <v>9781522523321</v>
      </c>
      <c r="E1486" t="s">
        <v>138</v>
      </c>
      <c r="F1486" t="s">
        <v>1769</v>
      </c>
      <c r="G1486" s="1">
        <v>42753</v>
      </c>
      <c r="H1486" s="1">
        <v>42754</v>
      </c>
      <c r="K1486" t="s">
        <v>7282</v>
      </c>
      <c r="L1486" t="s">
        <v>28</v>
      </c>
      <c r="M1486" t="s">
        <v>7283</v>
      </c>
      <c r="N1486" t="s">
        <v>365</v>
      </c>
      <c r="O1486" t="s">
        <v>7284</v>
      </c>
      <c r="P1486" t="s">
        <v>18</v>
      </c>
    </row>
    <row r="1487" spans="1:16" x14ac:dyDescent="0.35">
      <c r="A1487">
        <v>5022517</v>
      </c>
      <c r="B1487" t="s">
        <v>7285</v>
      </c>
      <c r="C1487" t="str">
        <f>"9783736994607"</f>
        <v>9783736994607</v>
      </c>
      <c r="D1487" t="str">
        <f>"9783736984608"</f>
        <v>9783736984608</v>
      </c>
      <c r="E1487" t="s">
        <v>2357</v>
      </c>
      <c r="F1487" t="s">
        <v>2357</v>
      </c>
      <c r="G1487" s="1">
        <v>42752</v>
      </c>
      <c r="H1487" s="1">
        <v>42983</v>
      </c>
      <c r="I1487">
        <v>1</v>
      </c>
      <c r="K1487" t="s">
        <v>7286</v>
      </c>
      <c r="L1487" t="s">
        <v>7287</v>
      </c>
      <c r="M1487" t="s">
        <v>7288</v>
      </c>
      <c r="N1487">
        <v>621.34</v>
      </c>
      <c r="O1487" t="s">
        <v>7289</v>
      </c>
      <c r="P1487" t="s">
        <v>18</v>
      </c>
    </row>
    <row r="1488" spans="1:16" x14ac:dyDescent="0.35">
      <c r="A1488">
        <v>4786602</v>
      </c>
      <c r="B1488" t="s">
        <v>7290</v>
      </c>
      <c r="C1488" t="str">
        <f>"9781522520818"</f>
        <v>9781522520818</v>
      </c>
      <c r="D1488" t="str">
        <f>"9781522520825"</f>
        <v>9781522520825</v>
      </c>
      <c r="E1488" t="s">
        <v>138</v>
      </c>
      <c r="F1488" t="s">
        <v>1769</v>
      </c>
      <c r="G1488" s="1">
        <v>42740</v>
      </c>
      <c r="H1488" s="1">
        <v>42748</v>
      </c>
      <c r="K1488" t="s">
        <v>7291</v>
      </c>
      <c r="L1488" t="s">
        <v>26</v>
      </c>
      <c r="M1488" t="s">
        <v>7292</v>
      </c>
      <c r="N1488" t="s">
        <v>128</v>
      </c>
      <c r="O1488" t="s">
        <v>7293</v>
      </c>
      <c r="P1488" t="s">
        <v>18</v>
      </c>
    </row>
    <row r="1489" spans="1:16" x14ac:dyDescent="0.35">
      <c r="A1489">
        <v>4812032</v>
      </c>
      <c r="B1489" t="s">
        <v>7294</v>
      </c>
      <c r="C1489" t="str">
        <f>"9781610916202"</f>
        <v>9781610916202</v>
      </c>
      <c r="D1489" t="str">
        <f>"9781610916219"</f>
        <v>9781610916219</v>
      </c>
      <c r="E1489" t="s">
        <v>2154</v>
      </c>
      <c r="F1489" t="s">
        <v>2154</v>
      </c>
      <c r="G1489" s="1">
        <v>42740</v>
      </c>
      <c r="H1489" s="1">
        <v>42792</v>
      </c>
      <c r="I1489">
        <v>1</v>
      </c>
      <c r="K1489" t="s">
        <v>4065</v>
      </c>
      <c r="L1489" t="s">
        <v>38</v>
      </c>
      <c r="M1489" t="s">
        <v>306</v>
      </c>
      <c r="N1489">
        <v>307.1216</v>
      </c>
      <c r="P1489" t="s">
        <v>18</v>
      </c>
    </row>
    <row r="1490" spans="1:16" x14ac:dyDescent="0.35">
      <c r="A1490">
        <v>4748424</v>
      </c>
      <c r="B1490" t="s">
        <v>7295</v>
      </c>
      <c r="C1490" t="str">
        <f>""</f>
        <v/>
      </c>
      <c r="D1490" t="str">
        <f>"9781522514190"</f>
        <v>9781522514190</v>
      </c>
      <c r="E1490" t="s">
        <v>138</v>
      </c>
      <c r="F1490" t="s">
        <v>7189</v>
      </c>
      <c r="G1490" s="1">
        <v>42736</v>
      </c>
      <c r="H1490" s="1">
        <v>42700</v>
      </c>
      <c r="K1490" t="s">
        <v>2410</v>
      </c>
      <c r="L1490" t="s">
        <v>38</v>
      </c>
      <c r="M1490" t="s">
        <v>7190</v>
      </c>
      <c r="N1490">
        <v>304.2</v>
      </c>
      <c r="O1490" t="s">
        <v>2412</v>
      </c>
      <c r="P1490" t="s">
        <v>18</v>
      </c>
    </row>
    <row r="1491" spans="1:16" x14ac:dyDescent="0.35">
      <c r="A1491">
        <v>4847953</v>
      </c>
      <c r="B1491" t="s">
        <v>7296</v>
      </c>
      <c r="C1491" t="str">
        <f>""</f>
        <v/>
      </c>
      <c r="D1491" t="str">
        <f>"9781522515333"</f>
        <v>9781522515333</v>
      </c>
      <c r="E1491" t="s">
        <v>138</v>
      </c>
      <c r="F1491" t="s">
        <v>7189</v>
      </c>
      <c r="G1491" s="1">
        <v>42736</v>
      </c>
      <c r="H1491" s="1">
        <v>42851</v>
      </c>
      <c r="K1491" t="s">
        <v>3292</v>
      </c>
      <c r="L1491" t="s">
        <v>53</v>
      </c>
      <c r="M1491" t="s">
        <v>7192</v>
      </c>
      <c r="N1491">
        <v>363.70049999999901</v>
      </c>
      <c r="O1491" t="s">
        <v>7297</v>
      </c>
      <c r="P1491" t="s">
        <v>18</v>
      </c>
    </row>
    <row r="1492" spans="1:16" x14ac:dyDescent="0.35">
      <c r="A1492">
        <v>5334105</v>
      </c>
      <c r="B1492" t="s">
        <v>7298</v>
      </c>
      <c r="C1492" t="str">
        <f>""</f>
        <v/>
      </c>
      <c r="D1492" t="str">
        <f>"9781522515890"</f>
        <v>9781522515890</v>
      </c>
      <c r="E1492" t="s">
        <v>138</v>
      </c>
      <c r="F1492" t="s">
        <v>138</v>
      </c>
      <c r="G1492" s="1">
        <v>42736</v>
      </c>
      <c r="H1492" s="1">
        <v>43191</v>
      </c>
      <c r="K1492" t="s">
        <v>4898</v>
      </c>
      <c r="L1492" t="s">
        <v>41</v>
      </c>
      <c r="M1492" t="s">
        <v>7299</v>
      </c>
      <c r="N1492">
        <v>338.92700000000002</v>
      </c>
      <c r="O1492" t="s">
        <v>5593</v>
      </c>
      <c r="P1492" t="s">
        <v>18</v>
      </c>
    </row>
    <row r="1493" spans="1:16" x14ac:dyDescent="0.35">
      <c r="A1493">
        <v>4775677</v>
      </c>
      <c r="B1493" t="s">
        <v>7300</v>
      </c>
      <c r="C1493" t="str">
        <f>"9781522520412"</f>
        <v>9781522520412</v>
      </c>
      <c r="D1493" t="str">
        <f>"9781522520429"</f>
        <v>9781522520429</v>
      </c>
      <c r="E1493" t="s">
        <v>138</v>
      </c>
      <c r="F1493" t="s">
        <v>1769</v>
      </c>
      <c r="G1493" s="1">
        <v>42732</v>
      </c>
      <c r="H1493" s="1">
        <v>42740</v>
      </c>
      <c r="K1493" t="s">
        <v>7301</v>
      </c>
      <c r="L1493" t="s">
        <v>41</v>
      </c>
      <c r="M1493" t="s">
        <v>7302</v>
      </c>
      <c r="N1493" t="s">
        <v>5357</v>
      </c>
      <c r="O1493" t="s">
        <v>7303</v>
      </c>
      <c r="P1493" t="s">
        <v>18</v>
      </c>
    </row>
    <row r="1494" spans="1:16" x14ac:dyDescent="0.35">
      <c r="A1494">
        <v>4775679</v>
      </c>
      <c r="B1494" t="s">
        <v>7304</v>
      </c>
      <c r="C1494" t="str">
        <f>"9781522520757"</f>
        <v>9781522520757</v>
      </c>
      <c r="D1494" t="str">
        <f>"9781522520764"</f>
        <v>9781522520764</v>
      </c>
      <c r="E1494" t="s">
        <v>138</v>
      </c>
      <c r="F1494" t="s">
        <v>1769</v>
      </c>
      <c r="G1494" s="1">
        <v>42732</v>
      </c>
      <c r="H1494" s="1">
        <v>42740</v>
      </c>
      <c r="K1494" t="s">
        <v>7305</v>
      </c>
      <c r="L1494" t="s">
        <v>28</v>
      </c>
      <c r="M1494" t="s">
        <v>7306</v>
      </c>
      <c r="N1494" t="s">
        <v>5141</v>
      </c>
      <c r="O1494" t="s">
        <v>7307</v>
      </c>
      <c r="P1494" t="s">
        <v>18</v>
      </c>
    </row>
    <row r="1495" spans="1:16" x14ac:dyDescent="0.35">
      <c r="A1495">
        <v>4775688</v>
      </c>
      <c r="B1495" t="s">
        <v>7308</v>
      </c>
      <c r="C1495" t="str">
        <f>"9781522520085"</f>
        <v>9781522520085</v>
      </c>
      <c r="D1495" t="str">
        <f>"9781522520092"</f>
        <v>9781522520092</v>
      </c>
      <c r="E1495" t="s">
        <v>138</v>
      </c>
      <c r="F1495" t="s">
        <v>1769</v>
      </c>
      <c r="G1495" s="1">
        <v>42732</v>
      </c>
      <c r="H1495" s="1">
        <v>42740</v>
      </c>
      <c r="K1495" t="s">
        <v>7309</v>
      </c>
      <c r="L1495" t="s">
        <v>26</v>
      </c>
      <c r="M1495" t="s">
        <v>7310</v>
      </c>
      <c r="N1495">
        <v>331.1</v>
      </c>
      <c r="O1495" t="s">
        <v>7311</v>
      </c>
      <c r="P1495" t="s">
        <v>18</v>
      </c>
    </row>
    <row r="1496" spans="1:16" x14ac:dyDescent="0.35">
      <c r="A1496">
        <v>4837362</v>
      </c>
      <c r="B1496" t="s">
        <v>7312</v>
      </c>
      <c r="C1496" t="str">
        <f>"9783631673300"</f>
        <v>9783631673300</v>
      </c>
      <c r="D1496" t="str">
        <f>"9783653065718"</f>
        <v>9783653065718</v>
      </c>
      <c r="E1496" t="s">
        <v>2432</v>
      </c>
      <c r="F1496" t="s">
        <v>2432</v>
      </c>
      <c r="G1496" s="1">
        <v>42730</v>
      </c>
      <c r="H1496" s="1">
        <v>42832</v>
      </c>
      <c r="I1496">
        <v>1</v>
      </c>
      <c r="K1496" t="s">
        <v>7313</v>
      </c>
      <c r="L1496" t="s">
        <v>41</v>
      </c>
      <c r="P1496" t="s">
        <v>18</v>
      </c>
    </row>
    <row r="1497" spans="1:16" x14ac:dyDescent="0.35">
      <c r="A1497">
        <v>4774864</v>
      </c>
      <c r="B1497" t="s">
        <v>7314</v>
      </c>
      <c r="C1497" t="str">
        <f>"9780128053140"</f>
        <v>9780128053140</v>
      </c>
      <c r="D1497" t="str">
        <f>"9780128092248"</f>
        <v>9780128092248</v>
      </c>
      <c r="E1497" t="s">
        <v>190</v>
      </c>
      <c r="F1497" t="s">
        <v>191</v>
      </c>
      <c r="G1497" s="1">
        <v>42726</v>
      </c>
      <c r="H1497" s="1">
        <v>42738</v>
      </c>
      <c r="K1497" t="s">
        <v>7131</v>
      </c>
      <c r="L1497" t="s">
        <v>7315</v>
      </c>
      <c r="M1497" t="s">
        <v>7316</v>
      </c>
      <c r="N1497">
        <v>641.6463</v>
      </c>
      <c r="O1497" t="s">
        <v>7317</v>
      </c>
      <c r="P1497" t="s">
        <v>18</v>
      </c>
    </row>
    <row r="1498" spans="1:16" x14ac:dyDescent="0.35">
      <c r="A1498">
        <v>4774118</v>
      </c>
      <c r="B1498" t="s">
        <v>7318</v>
      </c>
      <c r="C1498" t="str">
        <f>"9781522520368"</f>
        <v>9781522520368</v>
      </c>
      <c r="D1498" t="str">
        <f>"9781522520375"</f>
        <v>9781522520375</v>
      </c>
      <c r="E1498" t="s">
        <v>138</v>
      </c>
      <c r="F1498" t="s">
        <v>1769</v>
      </c>
      <c r="G1498" s="1">
        <v>42725</v>
      </c>
      <c r="H1498" s="1">
        <v>42733</v>
      </c>
      <c r="K1498" t="s">
        <v>2522</v>
      </c>
      <c r="L1498" t="s">
        <v>28</v>
      </c>
      <c r="M1498" t="s">
        <v>7319</v>
      </c>
      <c r="N1498">
        <v>658.7</v>
      </c>
      <c r="O1498" t="s">
        <v>7320</v>
      </c>
      <c r="P1498" t="s">
        <v>18</v>
      </c>
    </row>
    <row r="1499" spans="1:16" x14ac:dyDescent="0.35">
      <c r="A1499">
        <v>4774122</v>
      </c>
      <c r="B1499" t="s">
        <v>7321</v>
      </c>
      <c r="C1499" t="str">
        <f>"9781522519713"</f>
        <v>9781522519713</v>
      </c>
      <c r="D1499" t="str">
        <f>"9781522519720"</f>
        <v>9781522519720</v>
      </c>
      <c r="E1499" t="s">
        <v>138</v>
      </c>
      <c r="F1499" t="s">
        <v>1789</v>
      </c>
      <c r="G1499" s="1">
        <v>42725</v>
      </c>
      <c r="H1499" s="1">
        <v>42733</v>
      </c>
      <c r="K1499" t="s">
        <v>7322</v>
      </c>
      <c r="L1499" t="s">
        <v>85</v>
      </c>
      <c r="M1499" t="s">
        <v>7323</v>
      </c>
      <c r="N1499">
        <v>620.11</v>
      </c>
      <c r="O1499" t="s">
        <v>265</v>
      </c>
      <c r="P1499" t="s">
        <v>18</v>
      </c>
    </row>
    <row r="1500" spans="1:16" x14ac:dyDescent="0.35">
      <c r="A1500">
        <v>4814030</v>
      </c>
      <c r="B1500" t="s">
        <v>7324</v>
      </c>
      <c r="C1500" t="str">
        <f>""</f>
        <v/>
      </c>
      <c r="D1500" t="str">
        <f>"9781780645698"</f>
        <v>9781780645698</v>
      </c>
      <c r="E1500" t="s">
        <v>332</v>
      </c>
      <c r="F1500" t="s">
        <v>333</v>
      </c>
      <c r="G1500" s="1">
        <v>42718</v>
      </c>
      <c r="H1500" s="1">
        <v>42795</v>
      </c>
      <c r="K1500" t="s">
        <v>7325</v>
      </c>
      <c r="L1500" t="s">
        <v>370</v>
      </c>
      <c r="M1500" t="s">
        <v>7326</v>
      </c>
      <c r="N1500">
        <v>338.1096</v>
      </c>
      <c r="O1500" t="s">
        <v>7327</v>
      </c>
      <c r="P1500" t="s">
        <v>18</v>
      </c>
    </row>
    <row r="1501" spans="1:16" x14ac:dyDescent="0.35">
      <c r="A1501">
        <v>4742136</v>
      </c>
      <c r="B1501" t="s">
        <v>7328</v>
      </c>
      <c r="C1501" t="str">
        <f>"9780128054239"</f>
        <v>9780128054239</v>
      </c>
      <c r="D1501" t="str">
        <f>"9780128054246"</f>
        <v>9780128054246</v>
      </c>
      <c r="E1501" t="s">
        <v>190</v>
      </c>
      <c r="F1501" t="s">
        <v>191</v>
      </c>
      <c r="G1501" s="1">
        <v>42710</v>
      </c>
      <c r="H1501" s="1">
        <v>42688</v>
      </c>
      <c r="K1501" t="s">
        <v>7329</v>
      </c>
      <c r="L1501" t="s">
        <v>7330</v>
      </c>
      <c r="M1501" t="s">
        <v>7331</v>
      </c>
      <c r="N1501" t="s">
        <v>423</v>
      </c>
      <c r="O1501" t="s">
        <v>481</v>
      </c>
      <c r="P1501" t="s">
        <v>18</v>
      </c>
    </row>
    <row r="1502" spans="1:16" x14ac:dyDescent="0.35">
      <c r="A1502">
        <v>4777116</v>
      </c>
      <c r="B1502" t="s">
        <v>7332</v>
      </c>
      <c r="C1502" t="str">
        <f>"9783034321235"</f>
        <v>9783034321235</v>
      </c>
      <c r="D1502" t="str">
        <f>"9783034323635"</f>
        <v>9783034323635</v>
      </c>
      <c r="E1502" t="s">
        <v>2432</v>
      </c>
      <c r="F1502" t="s">
        <v>7333</v>
      </c>
      <c r="G1502" s="1">
        <v>42704</v>
      </c>
      <c r="H1502" s="1">
        <v>42742</v>
      </c>
      <c r="I1502">
        <v>1</v>
      </c>
      <c r="J1502" t="s">
        <v>7334</v>
      </c>
      <c r="K1502" t="s">
        <v>7335</v>
      </c>
      <c r="L1502" t="s">
        <v>4012</v>
      </c>
      <c r="M1502" t="s">
        <v>7336</v>
      </c>
      <c r="N1502">
        <v>640</v>
      </c>
      <c r="O1502" t="s">
        <v>3622</v>
      </c>
      <c r="P1502" t="s">
        <v>315</v>
      </c>
    </row>
    <row r="1503" spans="1:16" x14ac:dyDescent="0.35">
      <c r="A1503">
        <v>4748968</v>
      </c>
      <c r="B1503" t="s">
        <v>7337</v>
      </c>
      <c r="C1503" t="str">
        <f>"9780128018835"</f>
        <v>9780128018835</v>
      </c>
      <c r="D1503" t="str">
        <f>"9780128018583"</f>
        <v>9780128018583</v>
      </c>
      <c r="E1503" t="s">
        <v>1699</v>
      </c>
      <c r="F1503" t="s">
        <v>1699</v>
      </c>
      <c r="G1503" s="1">
        <v>42698</v>
      </c>
      <c r="H1503" s="1">
        <v>42701</v>
      </c>
      <c r="K1503" t="s">
        <v>7338</v>
      </c>
      <c r="L1503" t="s">
        <v>7269</v>
      </c>
      <c r="M1503" t="s">
        <v>7339</v>
      </c>
      <c r="N1503" t="s">
        <v>7340</v>
      </c>
      <c r="O1503" t="s">
        <v>7341</v>
      </c>
      <c r="P1503" t="s">
        <v>18</v>
      </c>
    </row>
    <row r="1504" spans="1:16" x14ac:dyDescent="0.35">
      <c r="A1504">
        <v>4747196</v>
      </c>
      <c r="B1504" t="s">
        <v>7342</v>
      </c>
      <c r="C1504" t="str">
        <f>"9781522518235"</f>
        <v>9781522518235</v>
      </c>
      <c r="D1504" t="str">
        <f>"9781522518242"</f>
        <v>9781522518242</v>
      </c>
      <c r="E1504" t="s">
        <v>138</v>
      </c>
      <c r="F1504" t="s">
        <v>1769</v>
      </c>
      <c r="G1504" s="1">
        <v>42691</v>
      </c>
      <c r="H1504" s="1">
        <v>42698</v>
      </c>
      <c r="J1504" t="s">
        <v>7343</v>
      </c>
      <c r="K1504" t="s">
        <v>2181</v>
      </c>
      <c r="L1504" t="s">
        <v>28</v>
      </c>
      <c r="M1504" t="s">
        <v>7344</v>
      </c>
      <c r="N1504" t="s">
        <v>54</v>
      </c>
      <c r="O1504" t="s">
        <v>7345</v>
      </c>
      <c r="P1504" t="s">
        <v>18</v>
      </c>
    </row>
    <row r="1505" spans="1:16" x14ac:dyDescent="0.35">
      <c r="A1505">
        <v>4812033</v>
      </c>
      <c r="B1505" t="s">
        <v>7346</v>
      </c>
      <c r="C1505" t="str">
        <f>"9781610917339"</f>
        <v>9781610917339</v>
      </c>
      <c r="D1505" t="str">
        <f>"9781610917346"</f>
        <v>9781610917346</v>
      </c>
      <c r="E1505" t="s">
        <v>2154</v>
      </c>
      <c r="F1505" t="s">
        <v>2154</v>
      </c>
      <c r="G1505" s="1">
        <v>42691</v>
      </c>
      <c r="H1505" s="1">
        <v>42792</v>
      </c>
      <c r="I1505">
        <v>1</v>
      </c>
      <c r="K1505" t="s">
        <v>7347</v>
      </c>
      <c r="L1505" t="s">
        <v>41</v>
      </c>
      <c r="M1505" t="s">
        <v>429</v>
      </c>
      <c r="N1505" t="s">
        <v>7348</v>
      </c>
      <c r="P1505" t="s">
        <v>18</v>
      </c>
    </row>
    <row r="1506" spans="1:16" x14ac:dyDescent="0.35">
      <c r="A1506">
        <v>4744466</v>
      </c>
      <c r="B1506" t="s">
        <v>7349</v>
      </c>
      <c r="C1506" t="str">
        <f>"9781522517153"</f>
        <v>9781522517153</v>
      </c>
      <c r="D1506" t="str">
        <f>"9781522517160"</f>
        <v>9781522517160</v>
      </c>
      <c r="E1506" t="s">
        <v>138</v>
      </c>
      <c r="F1506" t="s">
        <v>1789</v>
      </c>
      <c r="G1506" s="1">
        <v>42689</v>
      </c>
      <c r="H1506" s="1">
        <v>42691</v>
      </c>
      <c r="J1506" t="s">
        <v>7350</v>
      </c>
      <c r="K1506" t="s">
        <v>7351</v>
      </c>
      <c r="L1506" t="s">
        <v>168</v>
      </c>
      <c r="M1506" t="s">
        <v>7352</v>
      </c>
      <c r="N1506" t="s">
        <v>7353</v>
      </c>
      <c r="O1506" t="s">
        <v>7354</v>
      </c>
      <c r="P1506" t="s">
        <v>18</v>
      </c>
    </row>
    <row r="1507" spans="1:16" x14ac:dyDescent="0.35">
      <c r="A1507">
        <v>4740879</v>
      </c>
      <c r="B1507" t="s">
        <v>7355</v>
      </c>
      <c r="C1507" t="str">
        <f>"9780309444538"</f>
        <v>9780309444538</v>
      </c>
      <c r="D1507" t="str">
        <f>"9780309444545"</f>
        <v>9780309444545</v>
      </c>
      <c r="E1507" t="s">
        <v>531</v>
      </c>
      <c r="F1507" t="s">
        <v>531</v>
      </c>
      <c r="G1507" s="1">
        <v>42685</v>
      </c>
      <c r="H1507" s="1">
        <v>42685</v>
      </c>
      <c r="I1507">
        <v>1</v>
      </c>
      <c r="K1507" t="s">
        <v>7356</v>
      </c>
      <c r="L1507" t="s">
        <v>38</v>
      </c>
      <c r="M1507" t="s">
        <v>7357</v>
      </c>
      <c r="N1507">
        <v>307.12160972999999</v>
      </c>
      <c r="O1507" t="s">
        <v>7358</v>
      </c>
      <c r="P1507" t="s">
        <v>18</v>
      </c>
    </row>
    <row r="1508" spans="1:16" x14ac:dyDescent="0.35">
      <c r="A1508">
        <v>4718324</v>
      </c>
      <c r="B1508" t="s">
        <v>7359</v>
      </c>
      <c r="C1508" t="str">
        <f>"9781610917421"</f>
        <v>9781610917421</v>
      </c>
      <c r="D1508" t="str">
        <f>"9781610917445"</f>
        <v>9781610917445</v>
      </c>
      <c r="E1508" t="s">
        <v>2154</v>
      </c>
      <c r="F1508" t="s">
        <v>2154</v>
      </c>
      <c r="G1508" s="1">
        <v>42684</v>
      </c>
      <c r="H1508" s="1">
        <v>42659</v>
      </c>
      <c r="I1508">
        <v>1</v>
      </c>
      <c r="K1508" t="s">
        <v>7360</v>
      </c>
      <c r="L1508" t="s">
        <v>28</v>
      </c>
      <c r="M1508" t="s">
        <v>409</v>
      </c>
      <c r="P1508" t="s">
        <v>18</v>
      </c>
    </row>
    <row r="1509" spans="1:16" x14ac:dyDescent="0.35">
      <c r="A1509">
        <v>4498484</v>
      </c>
      <c r="B1509" t="s">
        <v>7361</v>
      </c>
      <c r="C1509" t="str">
        <f>"9781785333156"</f>
        <v>9781785333156</v>
      </c>
      <c r="D1509" t="str">
        <f>"9781785333163"</f>
        <v>9781785333163</v>
      </c>
      <c r="E1509" t="s">
        <v>447</v>
      </c>
      <c r="F1509" t="s">
        <v>447</v>
      </c>
      <c r="G1509" s="1">
        <v>42675</v>
      </c>
      <c r="H1509" s="1">
        <v>42819</v>
      </c>
      <c r="I1509">
        <v>1</v>
      </c>
      <c r="J1509" t="s">
        <v>4598</v>
      </c>
      <c r="K1509" t="s">
        <v>4599</v>
      </c>
      <c r="L1509" t="s">
        <v>38</v>
      </c>
      <c r="M1509" t="s">
        <v>7362</v>
      </c>
      <c r="N1509">
        <v>307.76094699999999</v>
      </c>
      <c r="P1509" t="s">
        <v>18</v>
      </c>
    </row>
    <row r="1510" spans="1:16" x14ac:dyDescent="0.35">
      <c r="A1510">
        <v>4719183</v>
      </c>
      <c r="B1510" t="s">
        <v>7363</v>
      </c>
      <c r="C1510" t="str">
        <f>"9780128104330"</f>
        <v>9780128104330</v>
      </c>
      <c r="D1510" t="str">
        <f>"9780128104439"</f>
        <v>9780128104439</v>
      </c>
      <c r="E1510" t="s">
        <v>190</v>
      </c>
      <c r="F1510" t="s">
        <v>282</v>
      </c>
      <c r="G1510" s="1">
        <v>42675</v>
      </c>
      <c r="H1510" s="1">
        <v>42662</v>
      </c>
      <c r="I1510">
        <v>2</v>
      </c>
      <c r="K1510" t="s">
        <v>7364</v>
      </c>
      <c r="L1510" t="s">
        <v>2016</v>
      </c>
      <c r="M1510" t="s">
        <v>7365</v>
      </c>
      <c r="N1510">
        <v>720.47</v>
      </c>
      <c r="O1510" t="s">
        <v>7366</v>
      </c>
      <c r="P1510" t="s">
        <v>18</v>
      </c>
    </row>
    <row r="1511" spans="1:16" x14ac:dyDescent="0.35">
      <c r="A1511">
        <v>4721231</v>
      </c>
      <c r="B1511" t="s">
        <v>2345</v>
      </c>
      <c r="C1511" t="str">
        <f>"9780128098639"</f>
        <v>9780128098639</v>
      </c>
      <c r="D1511" t="str">
        <f>"9780128098646"</f>
        <v>9780128098646</v>
      </c>
      <c r="E1511" t="s">
        <v>190</v>
      </c>
      <c r="F1511" t="s">
        <v>191</v>
      </c>
      <c r="G1511" s="1">
        <v>42675</v>
      </c>
      <c r="H1511" s="1">
        <v>42664</v>
      </c>
      <c r="J1511" t="s">
        <v>291</v>
      </c>
      <c r="K1511" t="s">
        <v>6964</v>
      </c>
      <c r="L1511" t="s">
        <v>26</v>
      </c>
      <c r="M1511" t="s">
        <v>7367</v>
      </c>
      <c r="N1511">
        <v>338.19</v>
      </c>
      <c r="O1511" t="s">
        <v>5347</v>
      </c>
      <c r="P1511" t="s">
        <v>18</v>
      </c>
    </row>
    <row r="1512" spans="1:16" x14ac:dyDescent="0.35">
      <c r="A1512">
        <v>4729695</v>
      </c>
      <c r="B1512" t="s">
        <v>7368</v>
      </c>
      <c r="C1512" t="str">
        <f>"9780081009871"</f>
        <v>9780081009871</v>
      </c>
      <c r="D1512" t="str">
        <f>"9780081009895"</f>
        <v>9780081009895</v>
      </c>
      <c r="E1512" t="s">
        <v>190</v>
      </c>
      <c r="F1512" t="s">
        <v>280</v>
      </c>
      <c r="G1512" s="1">
        <v>42669</v>
      </c>
      <c r="H1512" s="1">
        <v>42671</v>
      </c>
      <c r="J1512" t="s">
        <v>487</v>
      </c>
      <c r="K1512" t="s">
        <v>7369</v>
      </c>
      <c r="L1512" t="s">
        <v>81</v>
      </c>
      <c r="M1512" t="s">
        <v>7370</v>
      </c>
      <c r="N1512">
        <v>624.18340000000001</v>
      </c>
      <c r="O1512" t="s">
        <v>7371</v>
      </c>
      <c r="P1512" t="s">
        <v>18</v>
      </c>
    </row>
    <row r="1513" spans="1:16" x14ac:dyDescent="0.35">
      <c r="A1513">
        <v>4709098</v>
      </c>
      <c r="B1513" t="s">
        <v>7372</v>
      </c>
      <c r="C1513" t="str">
        <f>"9780128027783"</f>
        <v>9780128027783</v>
      </c>
      <c r="D1513" t="str">
        <f>"9780128027769"</f>
        <v>9780128027769</v>
      </c>
      <c r="E1513" t="s">
        <v>190</v>
      </c>
      <c r="F1513" t="s">
        <v>191</v>
      </c>
      <c r="G1513" s="1">
        <v>42668</v>
      </c>
      <c r="H1513" s="1">
        <v>42647</v>
      </c>
      <c r="K1513" t="s">
        <v>7373</v>
      </c>
      <c r="L1513" t="s">
        <v>7374</v>
      </c>
      <c r="M1513" t="s">
        <v>7375</v>
      </c>
      <c r="N1513">
        <v>641.12</v>
      </c>
      <c r="O1513" t="s">
        <v>4125</v>
      </c>
      <c r="P1513" t="s">
        <v>18</v>
      </c>
    </row>
    <row r="1514" spans="1:16" x14ac:dyDescent="0.35">
      <c r="A1514">
        <v>4729466</v>
      </c>
      <c r="B1514" t="s">
        <v>7376</v>
      </c>
      <c r="C1514" t="str">
        <f>"9781522516071"</f>
        <v>9781522516071</v>
      </c>
      <c r="D1514" t="str">
        <f>"9781522516088"</f>
        <v>9781522516088</v>
      </c>
      <c r="E1514" t="s">
        <v>138</v>
      </c>
      <c r="F1514" t="s">
        <v>1789</v>
      </c>
      <c r="G1514" s="1">
        <v>42668</v>
      </c>
      <c r="H1514" s="1">
        <v>42670</v>
      </c>
      <c r="J1514" t="s">
        <v>7377</v>
      </c>
      <c r="K1514" t="s">
        <v>7378</v>
      </c>
      <c r="L1514" t="s">
        <v>41</v>
      </c>
      <c r="M1514" t="s">
        <v>7379</v>
      </c>
      <c r="N1514" t="s">
        <v>128</v>
      </c>
      <c r="O1514" t="s">
        <v>503</v>
      </c>
      <c r="P1514" t="s">
        <v>18</v>
      </c>
    </row>
    <row r="1515" spans="1:16" x14ac:dyDescent="0.35">
      <c r="A1515">
        <v>4761066</v>
      </c>
      <c r="B1515" t="s">
        <v>7380</v>
      </c>
      <c r="C1515" t="str">
        <f>"9783038356219"</f>
        <v>9783038356219</v>
      </c>
      <c r="D1515" t="str">
        <f>"9783035701005"</f>
        <v>9783035701005</v>
      </c>
      <c r="E1515" t="s">
        <v>1649</v>
      </c>
      <c r="F1515" t="s">
        <v>1649</v>
      </c>
      <c r="G1515" s="1">
        <v>42668</v>
      </c>
      <c r="H1515" s="1">
        <v>42762</v>
      </c>
      <c r="I1515">
        <v>1</v>
      </c>
      <c r="J1515" t="s">
        <v>1671</v>
      </c>
      <c r="K1515" t="s">
        <v>7381</v>
      </c>
      <c r="L1515" t="s">
        <v>7259</v>
      </c>
      <c r="P1515" t="s">
        <v>18</v>
      </c>
    </row>
    <row r="1516" spans="1:16" x14ac:dyDescent="0.35">
      <c r="A1516">
        <v>4761120</v>
      </c>
      <c r="B1516" t="s">
        <v>7382</v>
      </c>
      <c r="C1516" t="str">
        <f>"9783035710441"</f>
        <v>9783035710441</v>
      </c>
      <c r="D1516" t="str">
        <f>"9783035730449"</f>
        <v>9783035730449</v>
      </c>
      <c r="E1516" t="s">
        <v>1649</v>
      </c>
      <c r="F1516" t="s">
        <v>1649</v>
      </c>
      <c r="G1516" s="1">
        <v>42668</v>
      </c>
      <c r="H1516" s="1">
        <v>42881</v>
      </c>
      <c r="I1516">
        <v>1</v>
      </c>
      <c r="J1516" t="s">
        <v>1671</v>
      </c>
      <c r="K1516" t="s">
        <v>7383</v>
      </c>
      <c r="L1516" t="s">
        <v>7384</v>
      </c>
      <c r="P1516" t="s">
        <v>18</v>
      </c>
    </row>
    <row r="1517" spans="1:16" x14ac:dyDescent="0.35">
      <c r="A1517">
        <v>6261880</v>
      </c>
      <c r="B1517" t="s">
        <v>7385</v>
      </c>
      <c r="C1517" t="str">
        <f>"9781506341163"</f>
        <v>9781506341163</v>
      </c>
      <c r="D1517" t="str">
        <f>"9781506341187"</f>
        <v>9781506341187</v>
      </c>
      <c r="E1517" t="s">
        <v>482</v>
      </c>
      <c r="F1517" t="s">
        <v>482</v>
      </c>
      <c r="G1517" s="1">
        <v>42656</v>
      </c>
      <c r="H1517" s="1">
        <v>44026</v>
      </c>
      <c r="I1517">
        <v>1</v>
      </c>
      <c r="J1517" t="s">
        <v>2383</v>
      </c>
      <c r="K1517" t="s">
        <v>7386</v>
      </c>
      <c r="L1517" t="s">
        <v>30</v>
      </c>
      <c r="M1517" t="s">
        <v>7387</v>
      </c>
      <c r="N1517">
        <v>371.3</v>
      </c>
      <c r="O1517" t="s">
        <v>7388</v>
      </c>
      <c r="P1517" t="s">
        <v>18</v>
      </c>
    </row>
    <row r="1518" spans="1:16" x14ac:dyDescent="0.35">
      <c r="A1518">
        <v>4625139</v>
      </c>
      <c r="B1518" t="s">
        <v>7389</v>
      </c>
      <c r="C1518" t="str">
        <f>"9783038356363"</f>
        <v>9783038356363</v>
      </c>
      <c r="D1518" t="str">
        <f>"9783035701173"</f>
        <v>9783035701173</v>
      </c>
      <c r="E1518" t="s">
        <v>1649</v>
      </c>
      <c r="F1518" t="s">
        <v>1649</v>
      </c>
      <c r="G1518" s="1">
        <v>42654</v>
      </c>
      <c r="H1518" s="1">
        <v>42881</v>
      </c>
      <c r="I1518">
        <v>1</v>
      </c>
      <c r="J1518" t="s">
        <v>4195</v>
      </c>
      <c r="K1518" t="s">
        <v>7390</v>
      </c>
      <c r="L1518" t="s">
        <v>7391</v>
      </c>
      <c r="P1518" t="s">
        <v>18</v>
      </c>
    </row>
    <row r="1519" spans="1:16" x14ac:dyDescent="0.35">
      <c r="A1519">
        <v>4714766</v>
      </c>
      <c r="B1519" t="s">
        <v>7392</v>
      </c>
      <c r="C1519" t="str">
        <f>"9780081009864"</f>
        <v>9780081009864</v>
      </c>
      <c r="D1519" t="str">
        <f>"9780081009888"</f>
        <v>9780081009888</v>
      </c>
      <c r="E1519" t="s">
        <v>190</v>
      </c>
      <c r="F1519" t="s">
        <v>280</v>
      </c>
      <c r="G1519" s="1">
        <v>42649</v>
      </c>
      <c r="H1519" s="1">
        <v>42653</v>
      </c>
      <c r="J1519" t="s">
        <v>487</v>
      </c>
      <c r="K1519" t="s">
        <v>7393</v>
      </c>
      <c r="L1519" t="s">
        <v>7394</v>
      </c>
      <c r="M1519" t="s">
        <v>7395</v>
      </c>
      <c r="N1519">
        <v>620.18200000000002</v>
      </c>
      <c r="O1519" t="s">
        <v>7396</v>
      </c>
      <c r="P1519" t="s">
        <v>18</v>
      </c>
    </row>
    <row r="1520" spans="1:16" x14ac:dyDescent="0.35">
      <c r="A1520">
        <v>4707869</v>
      </c>
      <c r="B1520" t="s">
        <v>7397</v>
      </c>
      <c r="C1520" t="str">
        <f>"9780128045244"</f>
        <v>9780128045244</v>
      </c>
      <c r="D1520" t="str">
        <f>"9780128045404"</f>
        <v>9780128045404</v>
      </c>
      <c r="E1520" t="s">
        <v>190</v>
      </c>
      <c r="F1520" t="s">
        <v>282</v>
      </c>
      <c r="G1520" s="1">
        <v>42646</v>
      </c>
      <c r="H1520" s="1">
        <v>42645</v>
      </c>
      <c r="K1520" t="s">
        <v>7398</v>
      </c>
      <c r="L1520" t="s">
        <v>129</v>
      </c>
      <c r="M1520" t="s">
        <v>7399</v>
      </c>
      <c r="N1520">
        <v>624.18340000000001</v>
      </c>
      <c r="O1520" t="s">
        <v>7400</v>
      </c>
      <c r="P1520" t="s">
        <v>18</v>
      </c>
    </row>
    <row r="1521" spans="1:16" x14ac:dyDescent="0.35">
      <c r="A1521">
        <v>4744494</v>
      </c>
      <c r="B1521" t="s">
        <v>7401</v>
      </c>
      <c r="C1521" t="str">
        <f>""</f>
        <v/>
      </c>
      <c r="D1521" t="str">
        <f>"9781466692398"</f>
        <v>9781466692398</v>
      </c>
      <c r="E1521" t="s">
        <v>138</v>
      </c>
      <c r="F1521" t="s">
        <v>7189</v>
      </c>
      <c r="G1521" s="1">
        <v>42644</v>
      </c>
      <c r="H1521" s="1">
        <v>42691</v>
      </c>
      <c r="K1521" t="s">
        <v>2410</v>
      </c>
      <c r="L1521" t="s">
        <v>38</v>
      </c>
      <c r="M1521" t="s">
        <v>7402</v>
      </c>
      <c r="O1521" t="s">
        <v>6992</v>
      </c>
      <c r="P1521" t="s">
        <v>18</v>
      </c>
    </row>
    <row r="1522" spans="1:16" x14ac:dyDescent="0.35">
      <c r="A1522">
        <v>4799321</v>
      </c>
      <c r="B1522" t="s">
        <v>7403</v>
      </c>
      <c r="C1522" t="str">
        <f>""</f>
        <v/>
      </c>
      <c r="D1522" t="str">
        <f>"9781466693654"</f>
        <v>9781466693654</v>
      </c>
      <c r="E1522" t="s">
        <v>138</v>
      </c>
      <c r="F1522" t="s">
        <v>7189</v>
      </c>
      <c r="G1522" s="1">
        <v>42644</v>
      </c>
      <c r="H1522" s="1">
        <v>42769</v>
      </c>
      <c r="K1522" t="s">
        <v>3292</v>
      </c>
      <c r="L1522" t="s">
        <v>343</v>
      </c>
      <c r="M1522" t="s">
        <v>7404</v>
      </c>
      <c r="N1522">
        <v>333.79097999999902</v>
      </c>
      <c r="O1522" t="s">
        <v>7405</v>
      </c>
      <c r="P1522" t="s">
        <v>18</v>
      </c>
    </row>
    <row r="1523" spans="1:16" x14ac:dyDescent="0.35">
      <c r="A1523">
        <v>4661587</v>
      </c>
      <c r="B1523" t="s">
        <v>4779</v>
      </c>
      <c r="C1523" t="str">
        <f>"9780444637833"</f>
        <v>9780444637833</v>
      </c>
      <c r="D1523" t="str">
        <f>"9780444637932"</f>
        <v>9780444637932</v>
      </c>
      <c r="E1523" t="s">
        <v>1699</v>
      </c>
      <c r="F1523" t="s">
        <v>1699</v>
      </c>
      <c r="G1523" s="1">
        <v>42643</v>
      </c>
      <c r="H1523" s="1">
        <v>42613</v>
      </c>
      <c r="I1523">
        <v>2</v>
      </c>
      <c r="K1523" t="s">
        <v>4780</v>
      </c>
      <c r="L1523" t="s">
        <v>118</v>
      </c>
      <c r="M1523" t="s">
        <v>7406</v>
      </c>
      <c r="N1523">
        <v>660.63</v>
      </c>
      <c r="P1523" t="s">
        <v>18</v>
      </c>
    </row>
    <row r="1524" spans="1:16" x14ac:dyDescent="0.35">
      <c r="A1524">
        <v>5023068</v>
      </c>
      <c r="B1524" t="s">
        <v>7407</v>
      </c>
      <c r="C1524" t="str">
        <f>"9783736993426"</f>
        <v>9783736993426</v>
      </c>
      <c r="D1524" t="str">
        <f>"9783736983427"</f>
        <v>9783736983427</v>
      </c>
      <c r="E1524" t="s">
        <v>2357</v>
      </c>
      <c r="F1524" t="s">
        <v>2357</v>
      </c>
      <c r="G1524" s="1">
        <v>42643</v>
      </c>
      <c r="H1524" s="1">
        <v>42984</v>
      </c>
      <c r="I1524">
        <v>1</v>
      </c>
      <c r="K1524" t="s">
        <v>7408</v>
      </c>
      <c r="L1524" t="s">
        <v>28</v>
      </c>
      <c r="M1524" t="s">
        <v>461</v>
      </c>
      <c r="N1524">
        <v>658.40800000000002</v>
      </c>
      <c r="O1524" t="s">
        <v>197</v>
      </c>
      <c r="P1524" t="s">
        <v>18</v>
      </c>
    </row>
    <row r="1525" spans="1:16" x14ac:dyDescent="0.35">
      <c r="A1525">
        <v>4698183</v>
      </c>
      <c r="B1525" t="s">
        <v>7409</v>
      </c>
      <c r="C1525" t="str">
        <f>"9780128103890"</f>
        <v>9780128103890</v>
      </c>
      <c r="D1525" t="str">
        <f>"9780128103906"</f>
        <v>9780128103906</v>
      </c>
      <c r="E1525" t="s">
        <v>1699</v>
      </c>
      <c r="F1525" t="s">
        <v>1699</v>
      </c>
      <c r="G1525" s="1">
        <v>42642</v>
      </c>
      <c r="H1525" s="1">
        <v>42643</v>
      </c>
      <c r="J1525" t="s">
        <v>3887</v>
      </c>
      <c r="K1525" t="s">
        <v>7410</v>
      </c>
      <c r="L1525" t="s">
        <v>7411</v>
      </c>
      <c r="M1525" t="s">
        <v>7412</v>
      </c>
      <c r="N1525">
        <v>553.28</v>
      </c>
      <c r="O1525" t="s">
        <v>2625</v>
      </c>
      <c r="P1525" t="s">
        <v>18</v>
      </c>
    </row>
    <row r="1526" spans="1:16" x14ac:dyDescent="0.35">
      <c r="A1526">
        <v>4698551</v>
      </c>
      <c r="B1526" t="s">
        <v>7413</v>
      </c>
      <c r="C1526" t="str">
        <f>"9781522507000"</f>
        <v>9781522507000</v>
      </c>
      <c r="D1526" t="str">
        <f>"9781522507017"</f>
        <v>9781522507017</v>
      </c>
      <c r="E1526" t="s">
        <v>138</v>
      </c>
      <c r="F1526" t="s">
        <v>1789</v>
      </c>
      <c r="G1526" s="1">
        <v>42636</v>
      </c>
      <c r="H1526" s="1">
        <v>42643</v>
      </c>
      <c r="K1526" t="s">
        <v>7414</v>
      </c>
      <c r="L1526" t="s">
        <v>7415</v>
      </c>
      <c r="M1526" t="s">
        <v>7416</v>
      </c>
      <c r="N1526" t="s">
        <v>274</v>
      </c>
      <c r="O1526" t="s">
        <v>7417</v>
      </c>
      <c r="P1526" t="s">
        <v>18</v>
      </c>
    </row>
    <row r="1527" spans="1:16" x14ac:dyDescent="0.35">
      <c r="A1527">
        <v>4625134</v>
      </c>
      <c r="B1527" t="s">
        <v>7418</v>
      </c>
      <c r="C1527" t="str">
        <f>"9783035711103"</f>
        <v>9783035711103</v>
      </c>
      <c r="D1527" t="str">
        <f>"9783035731101"</f>
        <v>9783035731101</v>
      </c>
      <c r="E1527" t="s">
        <v>1649</v>
      </c>
      <c r="F1527" t="s">
        <v>1649</v>
      </c>
      <c r="G1527" s="1">
        <v>42633</v>
      </c>
      <c r="H1527" s="1">
        <v>42881</v>
      </c>
      <c r="I1527">
        <v>1</v>
      </c>
      <c r="J1527" t="s">
        <v>7419</v>
      </c>
      <c r="K1527" t="s">
        <v>7420</v>
      </c>
      <c r="L1527" t="s">
        <v>7259</v>
      </c>
      <c r="P1527" t="s">
        <v>18</v>
      </c>
    </row>
    <row r="1528" spans="1:16" x14ac:dyDescent="0.35">
      <c r="A1528">
        <v>4669096</v>
      </c>
      <c r="B1528" t="s">
        <v>7421</v>
      </c>
      <c r="C1528" t="str">
        <f>"9780128054543"</f>
        <v>9780128054543</v>
      </c>
      <c r="D1528" t="str">
        <f>"9780128104705"</f>
        <v>9780128104705</v>
      </c>
      <c r="E1528" t="s">
        <v>1699</v>
      </c>
      <c r="F1528" t="s">
        <v>1699</v>
      </c>
      <c r="G1528" s="1">
        <v>42632</v>
      </c>
      <c r="H1528" s="1">
        <v>42616</v>
      </c>
      <c r="K1528" t="s">
        <v>7422</v>
      </c>
      <c r="L1528" t="s">
        <v>195</v>
      </c>
      <c r="M1528" t="s">
        <v>7423</v>
      </c>
      <c r="N1528">
        <v>333.70949999999999</v>
      </c>
      <c r="P1528" t="s">
        <v>18</v>
      </c>
    </row>
    <row r="1529" spans="1:16" x14ac:dyDescent="0.35">
      <c r="A1529">
        <v>4673351</v>
      </c>
      <c r="B1529" t="s">
        <v>7424</v>
      </c>
      <c r="C1529" t="str">
        <f>"9783038357155"</f>
        <v>9783038357155</v>
      </c>
      <c r="D1529" t="str">
        <f>"9783035702033"</f>
        <v>9783035702033</v>
      </c>
      <c r="E1529" t="s">
        <v>1649</v>
      </c>
      <c r="F1529" t="s">
        <v>1649</v>
      </c>
      <c r="G1529" s="1">
        <v>42628</v>
      </c>
      <c r="H1529" s="1">
        <v>42881</v>
      </c>
      <c r="I1529">
        <v>1</v>
      </c>
      <c r="J1529" t="s">
        <v>1671</v>
      </c>
      <c r="K1529" t="s">
        <v>7425</v>
      </c>
      <c r="L1529" t="s">
        <v>7259</v>
      </c>
      <c r="P1529" t="s">
        <v>18</v>
      </c>
    </row>
    <row r="1530" spans="1:16" x14ac:dyDescent="0.35">
      <c r="A1530">
        <v>5109159</v>
      </c>
      <c r="B1530" t="s">
        <v>7426</v>
      </c>
      <c r="C1530" t="str">
        <f>"9781610916752"</f>
        <v>9781610916752</v>
      </c>
      <c r="D1530" t="str">
        <f>"9781610916769"</f>
        <v>9781610916769</v>
      </c>
      <c r="E1530" t="s">
        <v>2154</v>
      </c>
      <c r="F1530" t="s">
        <v>2154</v>
      </c>
      <c r="G1530" s="1">
        <v>42628</v>
      </c>
      <c r="H1530" s="1">
        <v>43032</v>
      </c>
      <c r="I1530">
        <v>1</v>
      </c>
      <c r="K1530" t="s">
        <v>7427</v>
      </c>
      <c r="L1530" t="s">
        <v>26</v>
      </c>
      <c r="M1530" t="s">
        <v>7428</v>
      </c>
      <c r="N1530">
        <v>336.27863097300002</v>
      </c>
      <c r="P1530" t="s">
        <v>18</v>
      </c>
    </row>
    <row r="1531" spans="1:16" x14ac:dyDescent="0.35">
      <c r="A1531">
        <v>4676756</v>
      </c>
      <c r="B1531" t="s">
        <v>7429</v>
      </c>
      <c r="C1531" t="str">
        <f>"9783631676639"</f>
        <v>9783631676639</v>
      </c>
      <c r="D1531" t="str">
        <f>"9783653070767"</f>
        <v>9783653070767</v>
      </c>
      <c r="E1531" t="s">
        <v>2432</v>
      </c>
      <c r="F1531" t="s">
        <v>2432</v>
      </c>
      <c r="G1531" s="1">
        <v>42621</v>
      </c>
      <c r="H1531" s="1">
        <v>42626</v>
      </c>
      <c r="I1531">
        <v>1</v>
      </c>
      <c r="K1531" t="s">
        <v>7430</v>
      </c>
      <c r="L1531" t="s">
        <v>41</v>
      </c>
      <c r="M1531" t="s">
        <v>7431</v>
      </c>
      <c r="N1531">
        <v>338.96069999999901</v>
      </c>
      <c r="O1531" t="s">
        <v>7432</v>
      </c>
      <c r="P1531" t="s">
        <v>315</v>
      </c>
    </row>
    <row r="1532" spans="1:16" x14ac:dyDescent="0.35">
      <c r="A1532">
        <v>4677085</v>
      </c>
      <c r="B1532" t="s">
        <v>7433</v>
      </c>
      <c r="C1532" t="str">
        <f>"9780444635792"</f>
        <v>9780444635792</v>
      </c>
      <c r="D1532" t="str">
        <f>"9780444635808"</f>
        <v>9780444635808</v>
      </c>
      <c r="E1532" t="s">
        <v>1699</v>
      </c>
      <c r="F1532" t="s">
        <v>1699</v>
      </c>
      <c r="G1532" s="1">
        <v>42620</v>
      </c>
      <c r="H1532" s="1">
        <v>42625</v>
      </c>
      <c r="J1532" t="s">
        <v>291</v>
      </c>
      <c r="K1532" t="s">
        <v>7434</v>
      </c>
      <c r="L1532" t="s">
        <v>118</v>
      </c>
      <c r="M1532" t="s">
        <v>7435</v>
      </c>
      <c r="N1532">
        <v>664</v>
      </c>
      <c r="P1532" t="s">
        <v>18</v>
      </c>
    </row>
    <row r="1533" spans="1:16" x14ac:dyDescent="0.35">
      <c r="A1533">
        <v>4659378</v>
      </c>
      <c r="B1533" t="s">
        <v>7436</v>
      </c>
      <c r="C1533" t="str">
        <f>"9781780646879"</f>
        <v>9781780646879</v>
      </c>
      <c r="D1533" t="str">
        <f>"9781780646886"</f>
        <v>9781780646886</v>
      </c>
      <c r="E1533" t="s">
        <v>333</v>
      </c>
      <c r="F1533" t="s">
        <v>333</v>
      </c>
      <c r="G1533" s="1">
        <v>42613</v>
      </c>
      <c r="H1533" s="1">
        <v>42609</v>
      </c>
      <c r="K1533" t="s">
        <v>7437</v>
      </c>
      <c r="L1533" t="s">
        <v>168</v>
      </c>
      <c r="M1533" t="s">
        <v>7438</v>
      </c>
      <c r="N1533">
        <v>631.70000000000005</v>
      </c>
      <c r="O1533" t="s">
        <v>7439</v>
      </c>
      <c r="P1533" t="s">
        <v>18</v>
      </c>
    </row>
    <row r="1534" spans="1:16" x14ac:dyDescent="0.35">
      <c r="A1534">
        <v>4659386</v>
      </c>
      <c r="B1534" t="s">
        <v>7440</v>
      </c>
      <c r="C1534" t="str">
        <f>"9780444563538"</f>
        <v>9780444563538</v>
      </c>
      <c r="D1534" t="str">
        <f>"9780444563606"</f>
        <v>9780444563606</v>
      </c>
      <c r="E1534" t="s">
        <v>1699</v>
      </c>
      <c r="F1534" t="s">
        <v>1699</v>
      </c>
      <c r="G1534" s="1">
        <v>42613</v>
      </c>
      <c r="H1534" s="1">
        <v>42609</v>
      </c>
      <c r="K1534" t="s">
        <v>7441</v>
      </c>
      <c r="L1534" t="s">
        <v>4966</v>
      </c>
      <c r="M1534" t="s">
        <v>7442</v>
      </c>
      <c r="N1534">
        <v>621.04200000000003</v>
      </c>
      <c r="O1534" t="s">
        <v>7443</v>
      </c>
      <c r="P1534" t="s">
        <v>18</v>
      </c>
    </row>
    <row r="1535" spans="1:16" x14ac:dyDescent="0.35">
      <c r="A1535">
        <v>4690559</v>
      </c>
      <c r="B1535" t="s">
        <v>7444</v>
      </c>
      <c r="C1535" t="str">
        <f>"9780309443425"</f>
        <v>9780309443425</v>
      </c>
      <c r="D1535" t="str">
        <f>"9780309443432"</f>
        <v>9780309443432</v>
      </c>
      <c r="E1535" t="s">
        <v>531</v>
      </c>
      <c r="F1535" t="s">
        <v>531</v>
      </c>
      <c r="G1535" s="1">
        <v>42613</v>
      </c>
      <c r="H1535" s="1">
        <v>42887</v>
      </c>
      <c r="I1535">
        <v>1</v>
      </c>
      <c r="K1535" t="s">
        <v>7445</v>
      </c>
      <c r="L1535" t="s">
        <v>7446</v>
      </c>
      <c r="M1535" t="s">
        <v>7447</v>
      </c>
      <c r="N1535">
        <v>541.34514999999897</v>
      </c>
      <c r="O1535" t="s">
        <v>7448</v>
      </c>
      <c r="P1535" t="s">
        <v>18</v>
      </c>
    </row>
    <row r="1536" spans="1:16" x14ac:dyDescent="0.35">
      <c r="A1536">
        <v>4676149</v>
      </c>
      <c r="B1536" t="s">
        <v>7449</v>
      </c>
      <c r="C1536" t="str">
        <f>"9781522503057"</f>
        <v>9781522503057</v>
      </c>
      <c r="D1536" t="str">
        <f>"9781522503064"</f>
        <v>9781522503064</v>
      </c>
      <c r="E1536" t="s">
        <v>138</v>
      </c>
      <c r="F1536" t="s">
        <v>1769</v>
      </c>
      <c r="G1536" s="1">
        <v>42612</v>
      </c>
      <c r="H1536" s="1">
        <v>42622</v>
      </c>
      <c r="K1536" t="s">
        <v>7450</v>
      </c>
      <c r="L1536" t="s">
        <v>28</v>
      </c>
      <c r="M1536" t="s">
        <v>7451</v>
      </c>
      <c r="N1536" t="s">
        <v>54</v>
      </c>
      <c r="O1536" t="s">
        <v>197</v>
      </c>
      <c r="P1536" t="s">
        <v>18</v>
      </c>
    </row>
    <row r="1537" spans="1:16" x14ac:dyDescent="0.35">
      <c r="A1537">
        <v>4644554</v>
      </c>
      <c r="B1537" t="s">
        <v>7452</v>
      </c>
      <c r="C1537" t="str">
        <f>"9780081009956"</f>
        <v>9780081009956</v>
      </c>
      <c r="D1537" t="str">
        <f>"9780081003916"</f>
        <v>9780081003916</v>
      </c>
      <c r="E1537" t="s">
        <v>190</v>
      </c>
      <c r="F1537" t="s">
        <v>280</v>
      </c>
      <c r="G1537" s="1">
        <v>42608</v>
      </c>
      <c r="H1537" s="1">
        <v>42596</v>
      </c>
      <c r="I1537">
        <v>2</v>
      </c>
      <c r="J1537" t="s">
        <v>487</v>
      </c>
      <c r="K1537" t="s">
        <v>7453</v>
      </c>
      <c r="L1537" t="s">
        <v>7206</v>
      </c>
      <c r="M1537" t="s">
        <v>7454</v>
      </c>
      <c r="N1537">
        <v>691</v>
      </c>
      <c r="O1537" t="s">
        <v>7208</v>
      </c>
      <c r="P1537" t="s">
        <v>18</v>
      </c>
    </row>
    <row r="1538" spans="1:16" x14ac:dyDescent="0.35">
      <c r="A1538">
        <v>4648305</v>
      </c>
      <c r="B1538" t="s">
        <v>7455</v>
      </c>
      <c r="C1538" t="str">
        <f>"9780309443753"</f>
        <v>9780309443753</v>
      </c>
      <c r="D1538" t="str">
        <f>"9780309443760"</f>
        <v>9780309443760</v>
      </c>
      <c r="E1538" t="s">
        <v>531</v>
      </c>
      <c r="F1538" t="s">
        <v>531</v>
      </c>
      <c r="G1538" s="1">
        <v>42607</v>
      </c>
      <c r="H1538" s="1">
        <v>42600</v>
      </c>
      <c r="I1538">
        <v>1</v>
      </c>
      <c r="K1538" t="s">
        <v>7456</v>
      </c>
      <c r="L1538" t="s">
        <v>7457</v>
      </c>
      <c r="P1538" t="s">
        <v>18</v>
      </c>
    </row>
    <row r="1539" spans="1:16" x14ac:dyDescent="0.35">
      <c r="A1539">
        <v>5020203</v>
      </c>
      <c r="B1539" t="s">
        <v>7458</v>
      </c>
      <c r="C1539" t="str">
        <f>"9783736993419"</f>
        <v>9783736993419</v>
      </c>
      <c r="D1539" t="str">
        <f>"9783736983410"</f>
        <v>9783736983410</v>
      </c>
      <c r="E1539" t="s">
        <v>2357</v>
      </c>
      <c r="F1539" t="s">
        <v>2357</v>
      </c>
      <c r="G1539" s="1">
        <v>42607</v>
      </c>
      <c r="H1539" s="1">
        <v>42983</v>
      </c>
      <c r="I1539">
        <v>1</v>
      </c>
      <c r="K1539" t="s">
        <v>7459</v>
      </c>
      <c r="L1539" t="s">
        <v>38</v>
      </c>
      <c r="M1539" t="s">
        <v>7460</v>
      </c>
      <c r="N1539">
        <v>301</v>
      </c>
      <c r="O1539" t="s">
        <v>7461</v>
      </c>
      <c r="P1539" t="s">
        <v>18</v>
      </c>
    </row>
    <row r="1540" spans="1:16" x14ac:dyDescent="0.35">
      <c r="A1540">
        <v>4648293</v>
      </c>
      <c r="B1540" t="s">
        <v>7462</v>
      </c>
      <c r="C1540" t="str">
        <f>"9780309388801"</f>
        <v>9780309388801</v>
      </c>
      <c r="D1540" t="str">
        <f>"9780309388818"</f>
        <v>9780309388818</v>
      </c>
      <c r="E1540" t="s">
        <v>531</v>
      </c>
      <c r="F1540" t="s">
        <v>531</v>
      </c>
      <c r="G1540" s="1">
        <v>42604</v>
      </c>
      <c r="H1540" s="1">
        <v>42600</v>
      </c>
      <c r="I1540">
        <v>1</v>
      </c>
      <c r="K1540" t="s">
        <v>7463</v>
      </c>
      <c r="L1540" t="s">
        <v>7218</v>
      </c>
      <c r="P1540" t="s">
        <v>18</v>
      </c>
    </row>
    <row r="1541" spans="1:16" x14ac:dyDescent="0.35">
      <c r="A1541">
        <v>4648306</v>
      </c>
      <c r="B1541" t="s">
        <v>7464</v>
      </c>
      <c r="C1541" t="str">
        <f>"9780309444613"</f>
        <v>9780309444613</v>
      </c>
      <c r="D1541" t="str">
        <f>"9780309444620"</f>
        <v>9780309444620</v>
      </c>
      <c r="E1541" t="s">
        <v>531</v>
      </c>
      <c r="F1541" t="s">
        <v>531</v>
      </c>
      <c r="G1541" s="1">
        <v>42604</v>
      </c>
      <c r="H1541" s="1">
        <v>42600</v>
      </c>
      <c r="I1541">
        <v>1</v>
      </c>
      <c r="K1541" t="s">
        <v>7465</v>
      </c>
      <c r="L1541" t="s">
        <v>7218</v>
      </c>
      <c r="P1541" t="s">
        <v>18</v>
      </c>
    </row>
    <row r="1542" spans="1:16" x14ac:dyDescent="0.35">
      <c r="A1542">
        <v>4603197</v>
      </c>
      <c r="B1542" t="s">
        <v>7466</v>
      </c>
      <c r="C1542" t="str">
        <f>"9783038356714"</f>
        <v>9783038356714</v>
      </c>
      <c r="D1542" t="str">
        <f>"9783035701524"</f>
        <v>9783035701524</v>
      </c>
      <c r="E1542" t="s">
        <v>1649</v>
      </c>
      <c r="F1542" t="s">
        <v>1649</v>
      </c>
      <c r="G1542" s="1">
        <v>42602</v>
      </c>
      <c r="H1542" s="1">
        <v>42881</v>
      </c>
      <c r="I1542">
        <v>1</v>
      </c>
      <c r="J1542" t="s">
        <v>1671</v>
      </c>
      <c r="K1542" t="s">
        <v>7467</v>
      </c>
      <c r="L1542" t="s">
        <v>7259</v>
      </c>
      <c r="P1542" t="s">
        <v>18</v>
      </c>
    </row>
    <row r="1543" spans="1:16" x14ac:dyDescent="0.35">
      <c r="A1543">
        <v>4627941</v>
      </c>
      <c r="B1543" t="s">
        <v>7468</v>
      </c>
      <c r="C1543" t="str">
        <f>"9780128015636"</f>
        <v>9780128015636</v>
      </c>
      <c r="D1543" t="str">
        <f>"9780128017487"</f>
        <v>9780128017487</v>
      </c>
      <c r="E1543" t="s">
        <v>1699</v>
      </c>
      <c r="F1543" t="s">
        <v>1699</v>
      </c>
      <c r="G1543" s="1">
        <v>42591</v>
      </c>
      <c r="H1543" s="1">
        <v>42589</v>
      </c>
      <c r="K1543" t="s">
        <v>7469</v>
      </c>
      <c r="L1543" t="s">
        <v>5212</v>
      </c>
      <c r="M1543" t="s">
        <v>7470</v>
      </c>
      <c r="N1543" t="s">
        <v>448</v>
      </c>
      <c r="O1543" t="s">
        <v>7471</v>
      </c>
      <c r="P1543" t="s">
        <v>18</v>
      </c>
    </row>
    <row r="1544" spans="1:16" x14ac:dyDescent="0.35">
      <c r="A1544">
        <v>4648100</v>
      </c>
      <c r="B1544" t="s">
        <v>7472</v>
      </c>
      <c r="C1544" t="str">
        <f>"9781522505853"</f>
        <v>9781522505853</v>
      </c>
      <c r="D1544" t="str">
        <f>"9781522505860"</f>
        <v>9781522505860</v>
      </c>
      <c r="E1544" t="s">
        <v>138</v>
      </c>
      <c r="F1544" t="s">
        <v>1789</v>
      </c>
      <c r="G1544" s="1">
        <v>42586</v>
      </c>
      <c r="H1544" s="1">
        <v>42599</v>
      </c>
      <c r="K1544" t="s">
        <v>7473</v>
      </c>
      <c r="L1544" t="s">
        <v>7474</v>
      </c>
      <c r="M1544" t="s">
        <v>7475</v>
      </c>
      <c r="N1544" t="s">
        <v>7476</v>
      </c>
      <c r="O1544" t="s">
        <v>7477</v>
      </c>
      <c r="P1544" t="s">
        <v>18</v>
      </c>
    </row>
    <row r="1545" spans="1:16" x14ac:dyDescent="0.35">
      <c r="A1545">
        <v>4625994</v>
      </c>
      <c r="B1545" t="s">
        <v>7478</v>
      </c>
      <c r="C1545" t="str">
        <f>"9781522504924"</f>
        <v>9781522504924</v>
      </c>
      <c r="D1545" t="str">
        <f>"9781522504931"</f>
        <v>9781522504931</v>
      </c>
      <c r="E1545" t="s">
        <v>138</v>
      </c>
      <c r="F1545" t="s">
        <v>1764</v>
      </c>
      <c r="G1545" s="1">
        <v>42583</v>
      </c>
      <c r="H1545" s="1">
        <v>42588</v>
      </c>
      <c r="K1545" t="s">
        <v>7479</v>
      </c>
      <c r="L1545" t="s">
        <v>58</v>
      </c>
      <c r="M1545" t="s">
        <v>7480</v>
      </c>
      <c r="N1545" t="s">
        <v>381</v>
      </c>
      <c r="O1545" t="s">
        <v>502</v>
      </c>
      <c r="P1545" t="s">
        <v>18</v>
      </c>
    </row>
    <row r="1546" spans="1:16" x14ac:dyDescent="0.35">
      <c r="A1546">
        <v>4625990</v>
      </c>
      <c r="B1546" t="s">
        <v>7481</v>
      </c>
      <c r="C1546" t="str">
        <f>"9781522506355"</f>
        <v>9781522506355</v>
      </c>
      <c r="D1546" t="str">
        <f>"9781522506362"</f>
        <v>9781522506362</v>
      </c>
      <c r="E1546" t="s">
        <v>138</v>
      </c>
      <c r="F1546" t="s">
        <v>1769</v>
      </c>
      <c r="G1546" s="1">
        <v>42578</v>
      </c>
      <c r="H1546" s="1">
        <v>42588</v>
      </c>
      <c r="K1546" t="s">
        <v>7482</v>
      </c>
      <c r="L1546" t="s">
        <v>28</v>
      </c>
      <c r="M1546" t="s">
        <v>7483</v>
      </c>
      <c r="N1546">
        <v>658.7</v>
      </c>
      <c r="O1546" t="s">
        <v>7484</v>
      </c>
      <c r="P1546" t="s">
        <v>18</v>
      </c>
    </row>
    <row r="1547" spans="1:16" x14ac:dyDescent="0.35">
      <c r="A1547">
        <v>4625988</v>
      </c>
      <c r="B1547" t="s">
        <v>7485</v>
      </c>
      <c r="C1547" t="str">
        <f>"9781522505686"</f>
        <v>9781522505686</v>
      </c>
      <c r="D1547" t="str">
        <f>"9781522505693"</f>
        <v>9781522505693</v>
      </c>
      <c r="E1547" t="s">
        <v>138</v>
      </c>
      <c r="F1547" t="s">
        <v>1769</v>
      </c>
      <c r="G1547" s="1">
        <v>42573</v>
      </c>
      <c r="H1547" s="1">
        <v>42588</v>
      </c>
      <c r="K1547" t="s">
        <v>7486</v>
      </c>
      <c r="L1547" t="s">
        <v>28</v>
      </c>
      <c r="M1547" t="s">
        <v>7487</v>
      </c>
      <c r="N1547" t="s">
        <v>466</v>
      </c>
      <c r="O1547" t="s">
        <v>7488</v>
      </c>
      <c r="P1547" t="s">
        <v>18</v>
      </c>
    </row>
    <row r="1548" spans="1:16" x14ac:dyDescent="0.35">
      <c r="A1548">
        <v>4546765</v>
      </c>
      <c r="B1548" t="s">
        <v>7489</v>
      </c>
      <c r="C1548" t="str">
        <f>"9783035710465"</f>
        <v>9783035710465</v>
      </c>
      <c r="D1548" t="str">
        <f>"9783035730463"</f>
        <v>9783035730463</v>
      </c>
      <c r="E1548" t="s">
        <v>1649</v>
      </c>
      <c r="F1548" t="s">
        <v>1649</v>
      </c>
      <c r="G1548" s="1">
        <v>42567</v>
      </c>
      <c r="H1548" s="1">
        <v>42531</v>
      </c>
      <c r="I1548">
        <v>1</v>
      </c>
      <c r="J1548" t="s">
        <v>4195</v>
      </c>
      <c r="K1548" t="s">
        <v>7490</v>
      </c>
      <c r="L1548" t="s">
        <v>5185</v>
      </c>
      <c r="P1548" t="s">
        <v>18</v>
      </c>
    </row>
    <row r="1549" spans="1:16" x14ac:dyDescent="0.35">
      <c r="A1549">
        <v>5392636</v>
      </c>
      <c r="B1549" t="s">
        <v>7491</v>
      </c>
      <c r="C1549" t="str">
        <f>"9780128028568"</f>
        <v>9780128028568</v>
      </c>
      <c r="D1549" t="str">
        <f>"9780128028926"</f>
        <v>9780128028926</v>
      </c>
      <c r="E1549" t="s">
        <v>190</v>
      </c>
      <c r="F1549" t="s">
        <v>191</v>
      </c>
      <c r="G1549" s="1">
        <v>42564</v>
      </c>
      <c r="H1549" s="1">
        <v>43544</v>
      </c>
      <c r="K1549" t="s">
        <v>7492</v>
      </c>
      <c r="L1549" t="s">
        <v>6105</v>
      </c>
      <c r="M1549" t="s">
        <v>7493</v>
      </c>
      <c r="N1549">
        <v>338.19</v>
      </c>
      <c r="O1549" t="s">
        <v>7494</v>
      </c>
      <c r="P1549" t="s">
        <v>18</v>
      </c>
    </row>
    <row r="1550" spans="1:16" x14ac:dyDescent="0.35">
      <c r="A1550">
        <v>4197982</v>
      </c>
      <c r="B1550" t="s">
        <v>7495</v>
      </c>
      <c r="C1550" t="str">
        <f>"9781785331619"</f>
        <v>9781785331619</v>
      </c>
      <c r="D1550" t="str">
        <f>"9781785331626"</f>
        <v>9781785331626</v>
      </c>
      <c r="E1550" t="s">
        <v>447</v>
      </c>
      <c r="F1550" t="s">
        <v>447</v>
      </c>
      <c r="G1550" s="1">
        <v>42552</v>
      </c>
      <c r="H1550" s="1">
        <v>42600</v>
      </c>
      <c r="I1550">
        <v>1</v>
      </c>
      <c r="K1550" t="s">
        <v>7496</v>
      </c>
      <c r="L1550" t="s">
        <v>45</v>
      </c>
      <c r="M1550" t="s">
        <v>7497</v>
      </c>
      <c r="N1550">
        <v>305.8972</v>
      </c>
      <c r="O1550" t="s">
        <v>7498</v>
      </c>
      <c r="P1550" t="s">
        <v>18</v>
      </c>
    </row>
    <row r="1551" spans="1:16" x14ac:dyDescent="0.35">
      <c r="A1551">
        <v>4586037</v>
      </c>
      <c r="B1551" t="s">
        <v>7499</v>
      </c>
      <c r="C1551" t="str">
        <f>""</f>
        <v/>
      </c>
      <c r="D1551" t="str">
        <f>"9781466692381"</f>
        <v>9781466692381</v>
      </c>
      <c r="E1551" t="s">
        <v>138</v>
      </c>
      <c r="F1551" t="s">
        <v>7189</v>
      </c>
      <c r="G1551" s="1">
        <v>42552</v>
      </c>
      <c r="H1551" s="1">
        <v>42559</v>
      </c>
      <c r="K1551" t="s">
        <v>2410</v>
      </c>
      <c r="L1551" t="s">
        <v>38</v>
      </c>
      <c r="M1551" t="s">
        <v>7500</v>
      </c>
      <c r="N1551">
        <v>304.2</v>
      </c>
      <c r="O1551" t="s">
        <v>6992</v>
      </c>
      <c r="P1551" t="s">
        <v>18</v>
      </c>
    </row>
    <row r="1552" spans="1:16" x14ac:dyDescent="0.35">
      <c r="A1552">
        <v>4778902</v>
      </c>
      <c r="B1552" t="s">
        <v>7501</v>
      </c>
      <c r="C1552" t="str">
        <f>""</f>
        <v/>
      </c>
      <c r="D1552" t="str">
        <f>"9781466693647"</f>
        <v>9781466693647</v>
      </c>
      <c r="E1552" t="s">
        <v>138</v>
      </c>
      <c r="F1552" t="s">
        <v>7189</v>
      </c>
      <c r="G1552" s="1">
        <v>42552</v>
      </c>
      <c r="H1552" s="1">
        <v>42743</v>
      </c>
      <c r="K1552" t="s">
        <v>3292</v>
      </c>
      <c r="L1552" t="s">
        <v>283</v>
      </c>
      <c r="M1552" t="s">
        <v>7502</v>
      </c>
      <c r="N1552">
        <v>363.70049999999901</v>
      </c>
      <c r="O1552" t="s">
        <v>7297</v>
      </c>
      <c r="P1552" t="s">
        <v>18</v>
      </c>
    </row>
    <row r="1553" spans="1:16" x14ac:dyDescent="0.35">
      <c r="A1553">
        <v>4983737</v>
      </c>
      <c r="B1553" t="s">
        <v>7503</v>
      </c>
      <c r="C1553" t="str">
        <f>""</f>
        <v/>
      </c>
      <c r="D1553" t="str">
        <f>"9781466694170"</f>
        <v>9781466694170</v>
      </c>
      <c r="E1553" t="s">
        <v>138</v>
      </c>
      <c r="F1553" t="s">
        <v>138</v>
      </c>
      <c r="G1553" s="1">
        <v>42552</v>
      </c>
      <c r="H1553" s="1">
        <v>42971</v>
      </c>
      <c r="K1553" t="s">
        <v>7504</v>
      </c>
      <c r="L1553" t="s">
        <v>49</v>
      </c>
      <c r="M1553" t="s">
        <v>7505</v>
      </c>
      <c r="N1553">
        <v>361</v>
      </c>
      <c r="O1553" t="s">
        <v>7506</v>
      </c>
      <c r="P1553" t="s">
        <v>18</v>
      </c>
    </row>
    <row r="1554" spans="1:16" x14ac:dyDescent="0.35">
      <c r="A1554">
        <v>4635142</v>
      </c>
      <c r="B1554" t="s">
        <v>7507</v>
      </c>
      <c r="C1554" t="str">
        <f>"9781786357731"</f>
        <v>9781786357731</v>
      </c>
      <c r="D1554" t="str">
        <f>"9781786357748"</f>
        <v>9781786357748</v>
      </c>
      <c r="E1554" t="s">
        <v>187</v>
      </c>
      <c r="F1554" t="s">
        <v>188</v>
      </c>
      <c r="G1554" s="1">
        <v>42551</v>
      </c>
      <c r="H1554" s="1">
        <v>42592</v>
      </c>
      <c r="J1554" t="s">
        <v>313</v>
      </c>
      <c r="K1554" t="s">
        <v>7508</v>
      </c>
      <c r="L1554" t="s">
        <v>234</v>
      </c>
      <c r="M1554" t="s">
        <v>7509</v>
      </c>
      <c r="N1554">
        <v>25.5</v>
      </c>
      <c r="O1554" t="s">
        <v>7510</v>
      </c>
      <c r="P1554" t="s">
        <v>18</v>
      </c>
    </row>
    <row r="1555" spans="1:16" x14ac:dyDescent="0.35">
      <c r="A1555">
        <v>4514125</v>
      </c>
      <c r="B1555" t="s">
        <v>7511</v>
      </c>
      <c r="C1555" t="str">
        <f>"9781781004784"</f>
        <v>9781781004784</v>
      </c>
      <c r="D1555" t="str">
        <f>"9781781004791"</f>
        <v>9781781004791</v>
      </c>
      <c r="E1555" t="s">
        <v>2080</v>
      </c>
      <c r="F1555" t="s">
        <v>7033</v>
      </c>
      <c r="G1555" s="1">
        <v>42550</v>
      </c>
      <c r="H1555" s="1">
        <v>42514</v>
      </c>
      <c r="I1555">
        <v>1</v>
      </c>
      <c r="K1555" t="s">
        <v>7512</v>
      </c>
      <c r="L1555" t="s">
        <v>23</v>
      </c>
      <c r="M1555" t="s">
        <v>7513</v>
      </c>
      <c r="N1555" t="s">
        <v>7514</v>
      </c>
      <c r="O1555" t="s">
        <v>7515</v>
      </c>
      <c r="P1555" t="s">
        <v>18</v>
      </c>
    </row>
    <row r="1556" spans="1:16" x14ac:dyDescent="0.35">
      <c r="A1556">
        <v>4514131</v>
      </c>
      <c r="B1556" t="s">
        <v>7516</v>
      </c>
      <c r="C1556" t="str">
        <f>"9781783478309"</f>
        <v>9781783478309</v>
      </c>
      <c r="D1556" t="str">
        <f>"9781783478316"</f>
        <v>9781783478316</v>
      </c>
      <c r="E1556" t="s">
        <v>2080</v>
      </c>
      <c r="F1556" t="s">
        <v>7033</v>
      </c>
      <c r="G1556" s="1">
        <v>42550</v>
      </c>
      <c r="H1556" s="1">
        <v>42514</v>
      </c>
      <c r="I1556">
        <v>1</v>
      </c>
      <c r="K1556" t="s">
        <v>7517</v>
      </c>
      <c r="L1556" t="s">
        <v>23</v>
      </c>
      <c r="M1556" t="s">
        <v>7518</v>
      </c>
      <c r="N1556" t="s">
        <v>7519</v>
      </c>
      <c r="O1556" t="s">
        <v>7520</v>
      </c>
      <c r="P1556" t="s">
        <v>18</v>
      </c>
    </row>
    <row r="1557" spans="1:16" x14ac:dyDescent="0.35">
      <c r="A1557">
        <v>5023447</v>
      </c>
      <c r="B1557" t="s">
        <v>7521</v>
      </c>
      <c r="C1557" t="str">
        <f>"9783736992900"</f>
        <v>9783736992900</v>
      </c>
      <c r="D1557" t="str">
        <f>"9783736982901"</f>
        <v>9783736982901</v>
      </c>
      <c r="E1557" t="s">
        <v>2357</v>
      </c>
      <c r="F1557" t="s">
        <v>2357</v>
      </c>
      <c r="G1557" s="1">
        <v>42549</v>
      </c>
      <c r="H1557" s="1">
        <v>42984</v>
      </c>
      <c r="I1557">
        <v>1</v>
      </c>
      <c r="K1557" t="s">
        <v>7522</v>
      </c>
      <c r="L1557" t="s">
        <v>3693</v>
      </c>
      <c r="M1557" t="s">
        <v>7523</v>
      </c>
      <c r="N1557">
        <v>333.72</v>
      </c>
      <c r="O1557" t="s">
        <v>7524</v>
      </c>
      <c r="P1557" t="s">
        <v>18</v>
      </c>
    </row>
    <row r="1558" spans="1:16" x14ac:dyDescent="0.35">
      <c r="A1558">
        <v>4585255</v>
      </c>
      <c r="B1558" t="s">
        <v>7525</v>
      </c>
      <c r="C1558" t="str">
        <f>"9781522504405"</f>
        <v>9781522504405</v>
      </c>
      <c r="D1558" t="str">
        <f>"9781522504412"</f>
        <v>9781522504412</v>
      </c>
      <c r="E1558" t="s">
        <v>138</v>
      </c>
      <c r="F1558" t="s">
        <v>1769</v>
      </c>
      <c r="G1558" s="1">
        <v>42548</v>
      </c>
      <c r="H1558" s="1">
        <v>42558</v>
      </c>
      <c r="K1558" t="s">
        <v>7526</v>
      </c>
      <c r="L1558" t="s">
        <v>26</v>
      </c>
      <c r="M1558" t="s">
        <v>7527</v>
      </c>
      <c r="N1558" t="s">
        <v>128</v>
      </c>
      <c r="O1558" t="s">
        <v>303</v>
      </c>
      <c r="P1558" t="s">
        <v>18</v>
      </c>
    </row>
    <row r="1559" spans="1:16" x14ac:dyDescent="0.35">
      <c r="A1559">
        <v>4635170</v>
      </c>
      <c r="B1559" t="s">
        <v>7528</v>
      </c>
      <c r="C1559" t="str">
        <f>"9781786356697"</f>
        <v>9781786356697</v>
      </c>
      <c r="D1559" t="str">
        <f>"9781786356703"</f>
        <v>9781786356703</v>
      </c>
      <c r="E1559" t="s">
        <v>187</v>
      </c>
      <c r="F1559" t="s">
        <v>188</v>
      </c>
      <c r="G1559" s="1">
        <v>42542</v>
      </c>
      <c r="H1559" s="1">
        <v>42592</v>
      </c>
      <c r="J1559" t="s">
        <v>313</v>
      </c>
      <c r="K1559" t="s">
        <v>7508</v>
      </c>
      <c r="L1559" t="s">
        <v>234</v>
      </c>
      <c r="M1559" t="s">
        <v>7529</v>
      </c>
      <c r="N1559">
        <v>25.5</v>
      </c>
      <c r="O1559" t="s">
        <v>7530</v>
      </c>
      <c r="P1559" t="s">
        <v>18</v>
      </c>
    </row>
    <row r="1560" spans="1:16" x14ac:dyDescent="0.35">
      <c r="A1560">
        <v>4546749</v>
      </c>
      <c r="B1560" t="s">
        <v>7531</v>
      </c>
      <c r="C1560" t="str">
        <f>"9783035710120"</f>
        <v>9783035710120</v>
      </c>
      <c r="D1560" t="str">
        <f>"9783035730128"</f>
        <v>9783035730128</v>
      </c>
      <c r="E1560" t="s">
        <v>1649</v>
      </c>
      <c r="F1560" t="s">
        <v>1649</v>
      </c>
      <c r="G1560" s="1">
        <v>42541</v>
      </c>
      <c r="H1560" s="1">
        <v>42531</v>
      </c>
      <c r="I1560">
        <v>1</v>
      </c>
      <c r="J1560" t="s">
        <v>1671</v>
      </c>
      <c r="K1560" t="s">
        <v>7532</v>
      </c>
      <c r="L1560" t="s">
        <v>7259</v>
      </c>
      <c r="P1560" t="s">
        <v>18</v>
      </c>
    </row>
    <row r="1561" spans="1:16" x14ac:dyDescent="0.35">
      <c r="A1561">
        <v>4556812</v>
      </c>
      <c r="B1561" t="s">
        <v>7533</v>
      </c>
      <c r="C1561" t="str">
        <f>"9780128020326"</f>
        <v>9780128020326</v>
      </c>
      <c r="D1561" t="str">
        <f>"9780128020647"</f>
        <v>9780128020647</v>
      </c>
      <c r="E1561" t="s">
        <v>190</v>
      </c>
      <c r="F1561" t="s">
        <v>282</v>
      </c>
      <c r="G1561" s="1">
        <v>42534</v>
      </c>
      <c r="H1561" s="1">
        <v>42533</v>
      </c>
      <c r="K1561" t="s">
        <v>7534</v>
      </c>
      <c r="L1561" t="s">
        <v>76</v>
      </c>
      <c r="M1561" t="s">
        <v>7535</v>
      </c>
      <c r="N1561">
        <v>660.2</v>
      </c>
      <c r="O1561" t="s">
        <v>4479</v>
      </c>
      <c r="P1561" t="s">
        <v>18</v>
      </c>
    </row>
    <row r="1562" spans="1:16" x14ac:dyDescent="0.35">
      <c r="A1562">
        <v>4509771</v>
      </c>
      <c r="B1562" t="s">
        <v>7536</v>
      </c>
      <c r="C1562" t="str">
        <f>"9780128038376"</f>
        <v>9780128038376</v>
      </c>
      <c r="D1562" t="str">
        <f>"9780128039069"</f>
        <v>9780128039069</v>
      </c>
      <c r="E1562" t="s">
        <v>190</v>
      </c>
      <c r="F1562" t="s">
        <v>191</v>
      </c>
      <c r="G1562" s="1">
        <v>42527</v>
      </c>
      <c r="H1562" s="1">
        <v>42497</v>
      </c>
      <c r="K1562" t="s">
        <v>7537</v>
      </c>
      <c r="L1562" t="s">
        <v>113</v>
      </c>
      <c r="M1562" t="s">
        <v>7538</v>
      </c>
      <c r="N1562">
        <v>628.5</v>
      </c>
      <c r="O1562" t="s">
        <v>7539</v>
      </c>
      <c r="P1562" t="s">
        <v>18</v>
      </c>
    </row>
    <row r="1563" spans="1:16" x14ac:dyDescent="0.35">
      <c r="A1563">
        <v>4528551</v>
      </c>
      <c r="B1563" t="s">
        <v>7540</v>
      </c>
      <c r="C1563" t="str">
        <f>"9780309370851"</f>
        <v>9780309370851</v>
      </c>
      <c r="D1563" t="str">
        <f>"9780309370868"</f>
        <v>9780309370868</v>
      </c>
      <c r="E1563" t="s">
        <v>531</v>
      </c>
      <c r="F1563" t="s">
        <v>531</v>
      </c>
      <c r="G1563" s="1">
        <v>42519</v>
      </c>
      <c r="H1563" s="1">
        <v>42507</v>
      </c>
      <c r="I1563">
        <v>1</v>
      </c>
      <c r="K1563" t="s">
        <v>7541</v>
      </c>
      <c r="L1563" t="s">
        <v>7542</v>
      </c>
      <c r="P1563" t="s">
        <v>18</v>
      </c>
    </row>
    <row r="1564" spans="1:16" x14ac:dyDescent="0.35">
      <c r="A1564">
        <v>4533288</v>
      </c>
      <c r="B1564" t="s">
        <v>7543</v>
      </c>
      <c r="C1564" t="str">
        <f>"9780444627339"</f>
        <v>9780444627339</v>
      </c>
      <c r="D1564" t="str">
        <f>"9780444627438"</f>
        <v>9780444627438</v>
      </c>
      <c r="E1564" t="s">
        <v>1699</v>
      </c>
      <c r="F1564" t="s">
        <v>1699</v>
      </c>
      <c r="G1564" s="1">
        <v>42513</v>
      </c>
      <c r="H1564" s="1">
        <v>42517</v>
      </c>
      <c r="K1564" t="s">
        <v>7544</v>
      </c>
      <c r="L1564" t="s">
        <v>26</v>
      </c>
      <c r="M1564" t="s">
        <v>7545</v>
      </c>
      <c r="N1564">
        <v>338.92700000000002</v>
      </c>
      <c r="O1564" t="s">
        <v>503</v>
      </c>
      <c r="P1564" t="s">
        <v>18</v>
      </c>
    </row>
    <row r="1565" spans="1:16" x14ac:dyDescent="0.35">
      <c r="A1565">
        <v>5023420</v>
      </c>
      <c r="B1565" t="s">
        <v>7546</v>
      </c>
      <c r="C1565" t="str">
        <f>"9783736992566"</f>
        <v>9783736992566</v>
      </c>
      <c r="D1565" t="str">
        <f>"9783736982567"</f>
        <v>9783736982567</v>
      </c>
      <c r="E1565" t="s">
        <v>2357</v>
      </c>
      <c r="F1565" t="s">
        <v>2357</v>
      </c>
      <c r="G1565" s="1">
        <v>42510</v>
      </c>
      <c r="H1565" s="1">
        <v>42984</v>
      </c>
      <c r="I1565">
        <v>1</v>
      </c>
      <c r="K1565" t="s">
        <v>7547</v>
      </c>
      <c r="L1565" t="s">
        <v>536</v>
      </c>
      <c r="M1565" t="s">
        <v>7548</v>
      </c>
      <c r="N1565">
        <v>589.20452481999905</v>
      </c>
      <c r="O1565" t="s">
        <v>7549</v>
      </c>
      <c r="P1565" t="s">
        <v>18</v>
      </c>
    </row>
    <row r="1566" spans="1:16" x14ac:dyDescent="0.35">
      <c r="A1566">
        <v>4549675</v>
      </c>
      <c r="B1566" t="s">
        <v>7550</v>
      </c>
      <c r="C1566" t="str">
        <f>"9781783607792"</f>
        <v>9781783607792</v>
      </c>
      <c r="D1566" t="str">
        <f>"9781783607754"</f>
        <v>9781783607754</v>
      </c>
      <c r="E1566" t="s">
        <v>393</v>
      </c>
      <c r="F1566" t="s">
        <v>393</v>
      </c>
      <c r="G1566" s="1">
        <v>42505</v>
      </c>
      <c r="H1566" s="1">
        <v>42587</v>
      </c>
      <c r="I1566">
        <v>2</v>
      </c>
      <c r="K1566" t="s">
        <v>7551</v>
      </c>
      <c r="L1566" t="s">
        <v>38</v>
      </c>
      <c r="M1566" t="s">
        <v>7552</v>
      </c>
      <c r="N1566" t="s">
        <v>3107</v>
      </c>
      <c r="O1566" t="s">
        <v>7553</v>
      </c>
      <c r="P1566" t="s">
        <v>18</v>
      </c>
    </row>
    <row r="1567" spans="1:16" x14ac:dyDescent="0.35">
      <c r="A1567">
        <v>4532746</v>
      </c>
      <c r="B1567" t="s">
        <v>7554</v>
      </c>
      <c r="C1567" t="str">
        <f>"9781522503507"</f>
        <v>9781522503507</v>
      </c>
      <c r="D1567" t="str">
        <f>"9781522503514"</f>
        <v>9781522503514</v>
      </c>
      <c r="E1567" t="s">
        <v>138</v>
      </c>
      <c r="F1567" t="s">
        <v>138</v>
      </c>
      <c r="G1567" s="1">
        <v>42501</v>
      </c>
      <c r="H1567" s="1">
        <v>42516</v>
      </c>
      <c r="K1567" t="s">
        <v>7555</v>
      </c>
      <c r="L1567" t="s">
        <v>28</v>
      </c>
      <c r="M1567" t="s">
        <v>7556</v>
      </c>
      <c r="N1567" t="s">
        <v>369</v>
      </c>
      <c r="O1567" t="s">
        <v>7557</v>
      </c>
      <c r="P1567" t="s">
        <v>18</v>
      </c>
    </row>
    <row r="1568" spans="1:16" x14ac:dyDescent="0.35">
      <c r="A1568">
        <v>4720475</v>
      </c>
      <c r="B1568" t="s">
        <v>7558</v>
      </c>
      <c r="C1568" t="str">
        <f>"9780309390781"</f>
        <v>9780309390781</v>
      </c>
      <c r="D1568" t="str">
        <f>"9780309390798"</f>
        <v>9780309390798</v>
      </c>
      <c r="E1568" t="s">
        <v>531</v>
      </c>
      <c r="F1568" t="s">
        <v>531</v>
      </c>
      <c r="G1568" s="1">
        <v>42497</v>
      </c>
      <c r="H1568" s="1">
        <v>42662</v>
      </c>
      <c r="I1568">
        <v>1</v>
      </c>
      <c r="K1568" t="s">
        <v>7559</v>
      </c>
      <c r="L1568" t="s">
        <v>7560</v>
      </c>
      <c r="P1568" t="s">
        <v>18</v>
      </c>
    </row>
    <row r="1569" spans="1:16" x14ac:dyDescent="0.35">
      <c r="A1569">
        <v>4510624</v>
      </c>
      <c r="B1569" t="s">
        <v>7561</v>
      </c>
      <c r="C1569" t="str">
        <f>"9783035710151"</f>
        <v>9783035710151</v>
      </c>
      <c r="D1569" t="str">
        <f>"9783035730159"</f>
        <v>9783035730159</v>
      </c>
      <c r="E1569" t="s">
        <v>1649</v>
      </c>
      <c r="F1569" t="s">
        <v>1649</v>
      </c>
      <c r="G1569" s="1">
        <v>42491</v>
      </c>
      <c r="H1569" s="1">
        <v>42496</v>
      </c>
      <c r="I1569">
        <v>1</v>
      </c>
      <c r="J1569" t="s">
        <v>4195</v>
      </c>
      <c r="K1569" t="s">
        <v>7562</v>
      </c>
      <c r="L1569" t="s">
        <v>5185</v>
      </c>
      <c r="P1569" t="s">
        <v>18</v>
      </c>
    </row>
    <row r="1570" spans="1:16" x14ac:dyDescent="0.35">
      <c r="A1570">
        <v>4515691</v>
      </c>
      <c r="B1570" t="s">
        <v>7563</v>
      </c>
      <c r="C1570" t="str">
        <f>"9781522501350"</f>
        <v>9781522501350</v>
      </c>
      <c r="D1570" t="str">
        <f>"9781522501367"</f>
        <v>9781522501367</v>
      </c>
      <c r="E1570" t="s">
        <v>138</v>
      </c>
      <c r="F1570" t="s">
        <v>138</v>
      </c>
      <c r="G1570" s="1">
        <v>42482</v>
      </c>
      <c r="H1570" s="1">
        <v>42499</v>
      </c>
      <c r="K1570" t="s">
        <v>7564</v>
      </c>
      <c r="L1570" t="s">
        <v>28</v>
      </c>
      <c r="M1570" t="s">
        <v>7565</v>
      </c>
      <c r="N1570" t="s">
        <v>349</v>
      </c>
      <c r="O1570" t="s">
        <v>111</v>
      </c>
      <c r="P1570" t="s">
        <v>18</v>
      </c>
    </row>
    <row r="1571" spans="1:16" x14ac:dyDescent="0.35">
      <c r="A1571">
        <v>4509872</v>
      </c>
      <c r="B1571" t="s">
        <v>7566</v>
      </c>
      <c r="C1571" t="str">
        <f>"9781522500940"</f>
        <v>9781522500940</v>
      </c>
      <c r="D1571" t="str">
        <f>"9781522500957"</f>
        <v>9781522500957</v>
      </c>
      <c r="E1571" t="s">
        <v>138</v>
      </c>
      <c r="F1571" t="s">
        <v>138</v>
      </c>
      <c r="G1571" s="1">
        <v>42479</v>
      </c>
      <c r="H1571" s="1">
        <v>42499</v>
      </c>
      <c r="K1571" t="s">
        <v>7567</v>
      </c>
      <c r="L1571" t="s">
        <v>41</v>
      </c>
      <c r="M1571" t="s">
        <v>7568</v>
      </c>
      <c r="N1571" t="s">
        <v>128</v>
      </c>
      <c r="O1571" t="s">
        <v>7569</v>
      </c>
      <c r="P1571" t="s">
        <v>18</v>
      </c>
    </row>
    <row r="1572" spans="1:16" x14ac:dyDescent="0.35">
      <c r="A1572">
        <v>4528343</v>
      </c>
      <c r="B1572" t="s">
        <v>7570</v>
      </c>
      <c r="C1572" t="str">
        <f>""</f>
        <v/>
      </c>
      <c r="D1572" t="str">
        <f>"9781466692374"</f>
        <v>9781466692374</v>
      </c>
      <c r="E1572" t="s">
        <v>138</v>
      </c>
      <c r="F1572" t="s">
        <v>7189</v>
      </c>
      <c r="G1572" s="1">
        <v>42461</v>
      </c>
      <c r="H1572" s="1">
        <v>42506</v>
      </c>
      <c r="K1572" t="s">
        <v>2410</v>
      </c>
      <c r="L1572" t="s">
        <v>38</v>
      </c>
      <c r="M1572" t="s">
        <v>7571</v>
      </c>
      <c r="O1572" t="s">
        <v>2412</v>
      </c>
      <c r="P1572" t="s">
        <v>18</v>
      </c>
    </row>
    <row r="1573" spans="1:16" x14ac:dyDescent="0.35">
      <c r="A1573">
        <v>4696583</v>
      </c>
      <c r="B1573" t="s">
        <v>7572</v>
      </c>
      <c r="C1573" t="str">
        <f>""</f>
        <v/>
      </c>
      <c r="D1573" t="str">
        <f>"9781466693630"</f>
        <v>9781466693630</v>
      </c>
      <c r="E1573" t="s">
        <v>138</v>
      </c>
      <c r="F1573" t="s">
        <v>7189</v>
      </c>
      <c r="G1573" s="1">
        <v>42461</v>
      </c>
      <c r="H1573" s="1">
        <v>42637</v>
      </c>
      <c r="K1573" t="s">
        <v>3292</v>
      </c>
      <c r="L1573" t="s">
        <v>41</v>
      </c>
      <c r="M1573" t="s">
        <v>7573</v>
      </c>
      <c r="N1573">
        <v>338</v>
      </c>
      <c r="O1573" t="s">
        <v>7297</v>
      </c>
      <c r="P1573" t="s">
        <v>18</v>
      </c>
    </row>
    <row r="1574" spans="1:16" x14ac:dyDescent="0.35">
      <c r="A1574">
        <v>4459508</v>
      </c>
      <c r="B1574" t="s">
        <v>7574</v>
      </c>
      <c r="C1574" t="str">
        <f>"9780128036259"</f>
        <v>9780128036259</v>
      </c>
      <c r="D1574" t="str">
        <f>"9780128036518"</f>
        <v>9780128036518</v>
      </c>
      <c r="E1574" t="s">
        <v>190</v>
      </c>
      <c r="F1574" t="s">
        <v>286</v>
      </c>
      <c r="G1574" s="1">
        <v>42460</v>
      </c>
      <c r="H1574" s="1">
        <v>42456</v>
      </c>
      <c r="K1574" t="s">
        <v>7575</v>
      </c>
      <c r="L1574" t="s">
        <v>141</v>
      </c>
      <c r="M1574" t="s">
        <v>7576</v>
      </c>
      <c r="N1574" t="s">
        <v>7577</v>
      </c>
      <c r="O1574" t="s">
        <v>380</v>
      </c>
      <c r="P1574" t="s">
        <v>18</v>
      </c>
    </row>
    <row r="1575" spans="1:16" x14ac:dyDescent="0.35">
      <c r="A1575">
        <v>4471172</v>
      </c>
      <c r="B1575" t="s">
        <v>7578</v>
      </c>
      <c r="C1575" t="str">
        <f>"9781780644608"</f>
        <v>9781780644608</v>
      </c>
      <c r="D1575" t="str">
        <f>"9781780644615"</f>
        <v>9781780644615</v>
      </c>
      <c r="E1575" t="s">
        <v>333</v>
      </c>
      <c r="F1575" t="s">
        <v>333</v>
      </c>
      <c r="G1575" s="1">
        <v>42457</v>
      </c>
      <c r="H1575" s="1">
        <v>42495</v>
      </c>
      <c r="K1575" t="s">
        <v>7579</v>
      </c>
      <c r="L1575" t="s">
        <v>287</v>
      </c>
      <c r="M1575" t="s">
        <v>7580</v>
      </c>
      <c r="N1575">
        <v>338.47910000000002</v>
      </c>
      <c r="O1575" t="s">
        <v>7581</v>
      </c>
      <c r="P1575" t="s">
        <v>18</v>
      </c>
    </row>
    <row r="1576" spans="1:16" x14ac:dyDescent="0.35">
      <c r="A1576">
        <v>4455150</v>
      </c>
      <c r="B1576" t="s">
        <v>7582</v>
      </c>
      <c r="C1576" t="str">
        <f>"9780309391450"</f>
        <v>9780309391450</v>
      </c>
      <c r="D1576" t="str">
        <f>"9780309391467"</f>
        <v>9780309391467</v>
      </c>
      <c r="E1576" t="s">
        <v>531</v>
      </c>
      <c r="F1576" t="s">
        <v>531</v>
      </c>
      <c r="G1576" s="1">
        <v>42455</v>
      </c>
      <c r="H1576" s="1">
        <v>42452</v>
      </c>
      <c r="I1576">
        <v>1</v>
      </c>
      <c r="K1576" t="s">
        <v>7069</v>
      </c>
      <c r="L1576" t="s">
        <v>533</v>
      </c>
      <c r="P1576" t="s">
        <v>18</v>
      </c>
    </row>
    <row r="1577" spans="1:16" x14ac:dyDescent="0.35">
      <c r="A1577">
        <v>4454873</v>
      </c>
      <c r="B1577" t="s">
        <v>7583</v>
      </c>
      <c r="C1577" t="str">
        <f>"9781522500018"</f>
        <v>9781522500018</v>
      </c>
      <c r="D1577" t="str">
        <f>"9781522500025"</f>
        <v>9781522500025</v>
      </c>
      <c r="E1577" t="s">
        <v>138</v>
      </c>
      <c r="F1577" t="s">
        <v>138</v>
      </c>
      <c r="G1577" s="1">
        <v>42446</v>
      </c>
      <c r="H1577" s="1">
        <v>42458</v>
      </c>
      <c r="K1577" t="s">
        <v>7584</v>
      </c>
      <c r="L1577" t="s">
        <v>28</v>
      </c>
      <c r="M1577" t="s">
        <v>7585</v>
      </c>
      <c r="N1577">
        <v>658.7</v>
      </c>
      <c r="O1577" t="s">
        <v>7586</v>
      </c>
      <c r="P1577" t="s">
        <v>18</v>
      </c>
    </row>
    <row r="1578" spans="1:16" x14ac:dyDescent="0.35">
      <c r="A1578">
        <v>4763392</v>
      </c>
      <c r="B1578" t="s">
        <v>7587</v>
      </c>
      <c r="C1578" t="str">
        <f>"9781137445353"</f>
        <v>9781137445353</v>
      </c>
      <c r="D1578" t="str">
        <f>"9781137445360"</f>
        <v>9781137445360</v>
      </c>
      <c r="E1578" t="s">
        <v>354</v>
      </c>
      <c r="F1578" t="s">
        <v>362</v>
      </c>
      <c r="G1578" s="1">
        <v>42445</v>
      </c>
      <c r="H1578" s="1">
        <v>42712</v>
      </c>
      <c r="K1578" t="s">
        <v>7588</v>
      </c>
      <c r="L1578" t="s">
        <v>89</v>
      </c>
      <c r="M1578" t="s">
        <v>251</v>
      </c>
      <c r="N1578">
        <v>303.48200000000003</v>
      </c>
      <c r="O1578" t="s">
        <v>7589</v>
      </c>
      <c r="P1578" t="s">
        <v>18</v>
      </c>
    </row>
    <row r="1579" spans="1:16" x14ac:dyDescent="0.35">
      <c r="A1579">
        <v>4443953</v>
      </c>
      <c r="B1579" t="s">
        <v>7590</v>
      </c>
      <c r="C1579" t="str">
        <f>"9780444633125"</f>
        <v>9780444633125</v>
      </c>
      <c r="D1579" t="str">
        <f>"9780444633163"</f>
        <v>9780444633163</v>
      </c>
      <c r="E1579" t="s">
        <v>190</v>
      </c>
      <c r="F1579" t="s">
        <v>190</v>
      </c>
      <c r="G1579" s="1">
        <v>42444</v>
      </c>
      <c r="H1579" s="1">
        <v>42441</v>
      </c>
      <c r="K1579" t="s">
        <v>7591</v>
      </c>
      <c r="L1579" t="s">
        <v>104</v>
      </c>
      <c r="M1579" t="s">
        <v>7592</v>
      </c>
      <c r="N1579" t="s">
        <v>7593</v>
      </c>
      <c r="O1579" t="s">
        <v>7594</v>
      </c>
      <c r="P1579" t="s">
        <v>18</v>
      </c>
    </row>
    <row r="1580" spans="1:16" x14ac:dyDescent="0.35">
      <c r="A1580">
        <v>4510582</v>
      </c>
      <c r="B1580" t="s">
        <v>7595</v>
      </c>
      <c r="C1580" t="str">
        <f>"9783038356585"</f>
        <v>9783038356585</v>
      </c>
      <c r="D1580" t="str">
        <f>"9783035701395"</f>
        <v>9783035701395</v>
      </c>
      <c r="E1580" t="s">
        <v>1649</v>
      </c>
      <c r="F1580" t="s">
        <v>1649</v>
      </c>
      <c r="G1580" s="1">
        <v>42429</v>
      </c>
      <c r="H1580" s="1">
        <v>42622</v>
      </c>
      <c r="I1580">
        <v>1</v>
      </c>
      <c r="J1580" t="s">
        <v>1671</v>
      </c>
      <c r="K1580" t="s">
        <v>7532</v>
      </c>
      <c r="L1580" t="s">
        <v>7596</v>
      </c>
      <c r="P1580" t="s">
        <v>18</v>
      </c>
    </row>
    <row r="1581" spans="1:16" x14ac:dyDescent="0.35">
      <c r="A1581">
        <v>4437519</v>
      </c>
      <c r="B1581" t="s">
        <v>7597</v>
      </c>
      <c r="C1581" t="str">
        <f>"9783038357094"</f>
        <v>9783038357094</v>
      </c>
      <c r="D1581" t="str">
        <f>"9783035701975"</f>
        <v>9783035701975</v>
      </c>
      <c r="E1581" t="s">
        <v>1649</v>
      </c>
      <c r="F1581" t="s">
        <v>1649</v>
      </c>
      <c r="G1581" s="1">
        <v>42428</v>
      </c>
      <c r="H1581" s="1">
        <v>42481</v>
      </c>
      <c r="I1581">
        <v>1</v>
      </c>
      <c r="J1581" t="s">
        <v>4195</v>
      </c>
      <c r="K1581" t="s">
        <v>7598</v>
      </c>
      <c r="L1581" t="s">
        <v>5185</v>
      </c>
      <c r="P1581" t="s">
        <v>18</v>
      </c>
    </row>
    <row r="1582" spans="1:16" x14ac:dyDescent="0.35">
      <c r="A1582">
        <v>4437504</v>
      </c>
      <c r="B1582" t="s">
        <v>7599</v>
      </c>
      <c r="C1582" t="str">
        <f>"9783038355793"</f>
        <v>9783038355793</v>
      </c>
      <c r="D1582" t="str">
        <f>"9783035700534"</f>
        <v>9783035700534</v>
      </c>
      <c r="E1582" t="s">
        <v>1649</v>
      </c>
      <c r="F1582" t="s">
        <v>1649</v>
      </c>
      <c r="G1582" s="1">
        <v>42427</v>
      </c>
      <c r="H1582" s="1">
        <v>42481</v>
      </c>
      <c r="I1582">
        <v>1</v>
      </c>
      <c r="J1582" t="s">
        <v>1671</v>
      </c>
      <c r="K1582" t="s">
        <v>6786</v>
      </c>
      <c r="L1582" t="s">
        <v>84</v>
      </c>
      <c r="P1582" t="s">
        <v>18</v>
      </c>
    </row>
    <row r="1583" spans="1:16" x14ac:dyDescent="0.35">
      <c r="A1583">
        <v>4425974</v>
      </c>
      <c r="B1583" t="s">
        <v>7600</v>
      </c>
      <c r="C1583" t="str">
        <f>"9780081003121"</f>
        <v>9780081003121</v>
      </c>
      <c r="D1583" t="str">
        <f>"9780081003237"</f>
        <v>9780081003237</v>
      </c>
      <c r="E1583" t="s">
        <v>190</v>
      </c>
      <c r="F1583" t="s">
        <v>280</v>
      </c>
      <c r="G1583" s="1">
        <v>42425</v>
      </c>
      <c r="H1583" s="1">
        <v>42430</v>
      </c>
      <c r="K1583" t="s">
        <v>7601</v>
      </c>
      <c r="L1583" t="s">
        <v>7602</v>
      </c>
      <c r="M1583" t="s">
        <v>7603</v>
      </c>
      <c r="N1583">
        <v>333.79399999999998</v>
      </c>
      <c r="O1583" t="s">
        <v>481</v>
      </c>
      <c r="P1583" t="s">
        <v>18</v>
      </c>
    </row>
    <row r="1584" spans="1:16" x14ac:dyDescent="0.35">
      <c r="A1584">
        <v>4443249</v>
      </c>
      <c r="B1584" t="s">
        <v>7604</v>
      </c>
      <c r="C1584" t="str">
        <f>"9783631665985"</f>
        <v>9783631665985</v>
      </c>
      <c r="D1584" t="str">
        <f>"9783653058932"</f>
        <v>9783653058932</v>
      </c>
      <c r="E1584" t="s">
        <v>2432</v>
      </c>
      <c r="F1584" t="s">
        <v>2432</v>
      </c>
      <c r="G1584" s="1">
        <v>42422</v>
      </c>
      <c r="H1584" s="1">
        <v>42440</v>
      </c>
      <c r="I1584">
        <v>1</v>
      </c>
      <c r="J1584" t="s">
        <v>7605</v>
      </c>
      <c r="K1584" t="s">
        <v>7606</v>
      </c>
      <c r="L1584" t="s">
        <v>37</v>
      </c>
      <c r="M1584" t="s">
        <v>7607</v>
      </c>
      <c r="N1584">
        <v>299.45699999999999</v>
      </c>
      <c r="O1584" t="s">
        <v>7608</v>
      </c>
      <c r="P1584" t="s">
        <v>18</v>
      </c>
    </row>
    <row r="1585" spans="1:16" x14ac:dyDescent="0.35">
      <c r="A1585">
        <v>4428176</v>
      </c>
      <c r="B1585" t="s">
        <v>7609</v>
      </c>
      <c r="C1585" t="str">
        <f>"9780128032183"</f>
        <v>9780128032183</v>
      </c>
      <c r="D1585" t="str">
        <f>"9780128032190"</f>
        <v>9780128032190</v>
      </c>
      <c r="E1585" t="s">
        <v>190</v>
      </c>
      <c r="F1585" t="s">
        <v>191</v>
      </c>
      <c r="G1585" s="1">
        <v>42418</v>
      </c>
      <c r="H1585" s="1">
        <v>42440</v>
      </c>
      <c r="K1585" t="s">
        <v>7610</v>
      </c>
      <c r="L1585" t="s">
        <v>7611</v>
      </c>
      <c r="M1585" t="s">
        <v>7603</v>
      </c>
      <c r="N1585" t="s">
        <v>128</v>
      </c>
      <c r="O1585" t="s">
        <v>503</v>
      </c>
      <c r="P1585" t="s">
        <v>18</v>
      </c>
    </row>
    <row r="1586" spans="1:16" x14ac:dyDescent="0.35">
      <c r="A1586">
        <v>4415069</v>
      </c>
      <c r="B1586" t="s">
        <v>7612</v>
      </c>
      <c r="C1586" t="str">
        <f>"9783038355724"</f>
        <v>9783038355724</v>
      </c>
      <c r="D1586" t="str">
        <f>"9783035700459"</f>
        <v>9783035700459</v>
      </c>
      <c r="E1586" t="s">
        <v>1649</v>
      </c>
      <c r="F1586" t="s">
        <v>1649</v>
      </c>
      <c r="G1586" s="1">
        <v>42412</v>
      </c>
      <c r="H1586" s="1">
        <v>42622</v>
      </c>
      <c r="I1586">
        <v>1</v>
      </c>
      <c r="J1586" t="s">
        <v>1671</v>
      </c>
      <c r="K1586" t="s">
        <v>7613</v>
      </c>
      <c r="L1586" t="s">
        <v>7614</v>
      </c>
      <c r="P1586" t="s">
        <v>18</v>
      </c>
    </row>
    <row r="1587" spans="1:16" x14ac:dyDescent="0.35">
      <c r="A1587">
        <v>4415073</v>
      </c>
      <c r="B1587" t="s">
        <v>7615</v>
      </c>
      <c r="C1587" t="str">
        <f>"9783038356103"</f>
        <v>9783038356103</v>
      </c>
      <c r="D1587" t="str">
        <f>"9783035700855"</f>
        <v>9783035700855</v>
      </c>
      <c r="E1587" t="s">
        <v>1649</v>
      </c>
      <c r="F1587" t="s">
        <v>1649</v>
      </c>
      <c r="G1587" s="1">
        <v>42405</v>
      </c>
      <c r="H1587" s="1">
        <v>42622</v>
      </c>
      <c r="I1587">
        <v>1</v>
      </c>
      <c r="J1587" t="s">
        <v>1671</v>
      </c>
      <c r="K1587" t="s">
        <v>7616</v>
      </c>
      <c r="L1587" t="s">
        <v>7259</v>
      </c>
      <c r="P1587" t="s">
        <v>18</v>
      </c>
    </row>
    <row r="1588" spans="1:16" x14ac:dyDescent="0.35">
      <c r="A1588">
        <v>4415075</v>
      </c>
      <c r="B1588" t="s">
        <v>7617</v>
      </c>
      <c r="C1588" t="str">
        <f>"9783038356134"</f>
        <v>9783038356134</v>
      </c>
      <c r="D1588" t="str">
        <f>"9783035700893"</f>
        <v>9783035700893</v>
      </c>
      <c r="E1588" t="s">
        <v>1649</v>
      </c>
      <c r="F1588" t="s">
        <v>1649</v>
      </c>
      <c r="G1588" s="1">
        <v>42399</v>
      </c>
      <c r="H1588" s="1">
        <v>42622</v>
      </c>
      <c r="I1588">
        <v>1</v>
      </c>
      <c r="J1588" t="s">
        <v>1671</v>
      </c>
      <c r="K1588" t="s">
        <v>7532</v>
      </c>
      <c r="L1588" t="s">
        <v>7618</v>
      </c>
      <c r="P1588" t="s">
        <v>18</v>
      </c>
    </row>
    <row r="1589" spans="1:16" x14ac:dyDescent="0.35">
      <c r="A1589">
        <v>4510580</v>
      </c>
      <c r="B1589" t="s">
        <v>7619</v>
      </c>
      <c r="C1589" t="str">
        <f>"9783038356509"</f>
        <v>9783038356509</v>
      </c>
      <c r="D1589" t="str">
        <f>"9783035701319"</f>
        <v>9783035701319</v>
      </c>
      <c r="E1589" t="s">
        <v>1649</v>
      </c>
      <c r="F1589" t="s">
        <v>1649</v>
      </c>
      <c r="G1589" s="1">
        <v>42390</v>
      </c>
      <c r="H1589" s="1">
        <v>42622</v>
      </c>
      <c r="I1589">
        <v>1</v>
      </c>
      <c r="J1589" t="s">
        <v>7419</v>
      </c>
      <c r="K1589" t="s">
        <v>7620</v>
      </c>
      <c r="L1589" t="s">
        <v>7621</v>
      </c>
      <c r="P1589" t="s">
        <v>18</v>
      </c>
    </row>
    <row r="1590" spans="1:16" x14ac:dyDescent="0.35">
      <c r="A1590">
        <v>4415097</v>
      </c>
      <c r="B1590" t="s">
        <v>7622</v>
      </c>
      <c r="C1590" t="str">
        <f>"9783038358879"</f>
        <v>9783038358879</v>
      </c>
      <c r="D1590" t="str">
        <f>"9783035701784"</f>
        <v>9783035701784</v>
      </c>
      <c r="E1590" t="s">
        <v>1649</v>
      </c>
      <c r="F1590" t="s">
        <v>1649</v>
      </c>
      <c r="G1590" s="1">
        <v>42372</v>
      </c>
      <c r="H1590" s="1">
        <v>42622</v>
      </c>
      <c r="I1590">
        <v>1</v>
      </c>
      <c r="J1590" t="s">
        <v>2393</v>
      </c>
      <c r="K1590" t="s">
        <v>7623</v>
      </c>
      <c r="L1590" t="s">
        <v>5185</v>
      </c>
      <c r="P1590" t="s">
        <v>18</v>
      </c>
    </row>
    <row r="1591" spans="1:16" x14ac:dyDescent="0.35">
      <c r="A1591">
        <v>4635773</v>
      </c>
      <c r="B1591" t="s">
        <v>7624</v>
      </c>
      <c r="C1591" t="str">
        <f>"9780749476809"</f>
        <v>9780749476809</v>
      </c>
      <c r="D1591" t="str">
        <f>"9780749476816"</f>
        <v>9780749476816</v>
      </c>
      <c r="E1591" t="s">
        <v>215</v>
      </c>
      <c r="F1591" t="s">
        <v>215</v>
      </c>
      <c r="G1591" s="1">
        <v>42372</v>
      </c>
      <c r="H1591" s="1">
        <v>42593</v>
      </c>
      <c r="I1591">
        <v>1</v>
      </c>
      <c r="J1591" t="s">
        <v>7625</v>
      </c>
      <c r="K1591" t="s">
        <v>7626</v>
      </c>
      <c r="L1591" t="s">
        <v>41</v>
      </c>
      <c r="M1591" t="s">
        <v>7627</v>
      </c>
      <c r="N1591">
        <v>338.47677009419903</v>
      </c>
      <c r="O1591" t="s">
        <v>7628</v>
      </c>
      <c r="P1591" t="s">
        <v>18</v>
      </c>
    </row>
    <row r="1592" spans="1:16" x14ac:dyDescent="0.35">
      <c r="A1592">
        <v>4635778</v>
      </c>
      <c r="B1592" t="s">
        <v>7629</v>
      </c>
      <c r="C1592" t="str">
        <f>"9780749477097"</f>
        <v>9780749477097</v>
      </c>
      <c r="D1592" t="str">
        <f>"9780749477103"</f>
        <v>9780749477103</v>
      </c>
      <c r="E1592" t="s">
        <v>215</v>
      </c>
      <c r="F1592" t="s">
        <v>215</v>
      </c>
      <c r="G1592" s="1">
        <v>42372</v>
      </c>
      <c r="H1592" s="1">
        <v>42593</v>
      </c>
      <c r="I1592">
        <v>1</v>
      </c>
      <c r="J1592" t="s">
        <v>7625</v>
      </c>
      <c r="K1592" t="s">
        <v>7630</v>
      </c>
      <c r="L1592" t="s">
        <v>69</v>
      </c>
      <c r="M1592" t="s">
        <v>7631</v>
      </c>
      <c r="N1592">
        <v>647.94000000000005</v>
      </c>
      <c r="O1592" t="s">
        <v>514</v>
      </c>
      <c r="P1592" t="s">
        <v>18</v>
      </c>
    </row>
    <row r="1593" spans="1:16" x14ac:dyDescent="0.35">
      <c r="A1593">
        <v>4522368</v>
      </c>
      <c r="B1593" t="s">
        <v>7632</v>
      </c>
      <c r="C1593" t="str">
        <f>"9789463004275"</f>
        <v>9789463004275</v>
      </c>
      <c r="D1593" t="str">
        <f>"9789463004299"</f>
        <v>9789463004299</v>
      </c>
      <c r="E1593" t="s">
        <v>228</v>
      </c>
      <c r="F1593" t="s">
        <v>549</v>
      </c>
      <c r="G1593" s="1">
        <v>42370</v>
      </c>
      <c r="H1593" s="1">
        <v>43144</v>
      </c>
      <c r="I1593">
        <v>1</v>
      </c>
      <c r="K1593" t="s">
        <v>7633</v>
      </c>
      <c r="L1593" t="s">
        <v>30</v>
      </c>
      <c r="M1593" t="s">
        <v>6974</v>
      </c>
      <c r="N1593">
        <v>370.11500000000001</v>
      </c>
      <c r="O1593" t="s">
        <v>7634</v>
      </c>
      <c r="P1593" t="s">
        <v>18</v>
      </c>
    </row>
    <row r="1594" spans="1:16" x14ac:dyDescent="0.35">
      <c r="A1594">
        <v>4622976</v>
      </c>
      <c r="B1594" t="s">
        <v>7635</v>
      </c>
      <c r="C1594" t="str">
        <f>""</f>
        <v/>
      </c>
      <c r="D1594" t="str">
        <f>"9781466693623"</f>
        <v>9781466693623</v>
      </c>
      <c r="E1594" t="s">
        <v>138</v>
      </c>
      <c r="F1594" t="s">
        <v>7189</v>
      </c>
      <c r="G1594" s="1">
        <v>42370</v>
      </c>
      <c r="H1594" s="1">
        <v>42586</v>
      </c>
      <c r="K1594" t="s">
        <v>3292</v>
      </c>
      <c r="L1594" t="s">
        <v>26</v>
      </c>
      <c r="M1594" t="s">
        <v>7636</v>
      </c>
      <c r="N1594">
        <v>338.92700000000002</v>
      </c>
      <c r="O1594" t="s">
        <v>503</v>
      </c>
      <c r="P1594" t="s">
        <v>18</v>
      </c>
    </row>
    <row r="1595" spans="1:16" x14ac:dyDescent="0.35">
      <c r="A1595">
        <v>4730460</v>
      </c>
      <c r="B1595" t="s">
        <v>7637</v>
      </c>
      <c r="C1595" t="str">
        <f>""</f>
        <v/>
      </c>
      <c r="D1595" t="str">
        <f>"9781466694200"</f>
        <v>9781466694200</v>
      </c>
      <c r="E1595" t="s">
        <v>138</v>
      </c>
      <c r="F1595" t="s">
        <v>7189</v>
      </c>
      <c r="G1595" s="1">
        <v>42370</v>
      </c>
      <c r="H1595" s="1">
        <v>42675</v>
      </c>
      <c r="K1595" t="s">
        <v>138</v>
      </c>
      <c r="L1595" t="s">
        <v>124</v>
      </c>
      <c r="M1595" t="s">
        <v>7638</v>
      </c>
      <c r="N1595">
        <v>616</v>
      </c>
      <c r="O1595" t="s">
        <v>7639</v>
      </c>
      <c r="P1595" t="s">
        <v>18</v>
      </c>
    </row>
    <row r="1596" spans="1:16" x14ac:dyDescent="0.35">
      <c r="A1596">
        <v>4748426</v>
      </c>
      <c r="B1596" t="s">
        <v>7640</v>
      </c>
      <c r="C1596" t="str">
        <f>""</f>
        <v/>
      </c>
      <c r="D1596" t="str">
        <f>"9781466694163"</f>
        <v>9781466694163</v>
      </c>
      <c r="E1596" t="s">
        <v>138</v>
      </c>
      <c r="F1596" t="s">
        <v>7189</v>
      </c>
      <c r="G1596" s="1">
        <v>42370</v>
      </c>
      <c r="H1596" s="1">
        <v>42700</v>
      </c>
      <c r="K1596" t="s">
        <v>7641</v>
      </c>
      <c r="L1596" t="s">
        <v>28</v>
      </c>
      <c r="M1596" t="s">
        <v>7642</v>
      </c>
      <c r="N1596">
        <v>658.40800000000002</v>
      </c>
      <c r="O1596" t="s">
        <v>2272</v>
      </c>
      <c r="P1596" t="s">
        <v>18</v>
      </c>
    </row>
    <row r="1597" spans="1:16" x14ac:dyDescent="0.35">
      <c r="A1597">
        <v>4676623</v>
      </c>
      <c r="B1597" t="s">
        <v>7643</v>
      </c>
      <c r="C1597" t="str">
        <f>"9783038356769"</f>
        <v>9783038356769</v>
      </c>
      <c r="D1597" t="str">
        <f>"9783035701586"</f>
        <v>9783035701586</v>
      </c>
      <c r="E1597" t="s">
        <v>1649</v>
      </c>
      <c r="F1597" t="s">
        <v>1649</v>
      </c>
      <c r="G1597" s="1">
        <v>42368</v>
      </c>
      <c r="H1597" s="1">
        <v>42627</v>
      </c>
      <c r="I1597">
        <v>1</v>
      </c>
      <c r="J1597" t="s">
        <v>4195</v>
      </c>
      <c r="K1597" t="s">
        <v>7644</v>
      </c>
      <c r="L1597" t="s">
        <v>186</v>
      </c>
      <c r="P1597" t="s">
        <v>18</v>
      </c>
    </row>
    <row r="1598" spans="1:16" x14ac:dyDescent="0.35">
      <c r="A1598">
        <v>4676621</v>
      </c>
      <c r="B1598" t="s">
        <v>7645</v>
      </c>
      <c r="C1598" t="str">
        <f>"9783038356776"</f>
        <v>9783038356776</v>
      </c>
      <c r="D1598" t="str">
        <f>"9783035701593"</f>
        <v>9783035701593</v>
      </c>
      <c r="E1598" t="s">
        <v>1649</v>
      </c>
      <c r="F1598" t="s">
        <v>1649</v>
      </c>
      <c r="G1598" s="1">
        <v>42364</v>
      </c>
      <c r="H1598" s="1">
        <v>42627</v>
      </c>
      <c r="I1598">
        <v>1</v>
      </c>
      <c r="J1598" t="s">
        <v>7419</v>
      </c>
      <c r="K1598" t="s">
        <v>7646</v>
      </c>
      <c r="L1598" t="s">
        <v>7259</v>
      </c>
      <c r="P1598" t="s">
        <v>18</v>
      </c>
    </row>
    <row r="1599" spans="1:16" x14ac:dyDescent="0.35">
      <c r="A1599">
        <v>4412682</v>
      </c>
      <c r="B1599" t="s">
        <v>7647</v>
      </c>
      <c r="C1599" t="str">
        <f>"9781780646978"</f>
        <v>9781780646978</v>
      </c>
      <c r="D1599" t="str">
        <f>"9781780646985"</f>
        <v>9781780646985</v>
      </c>
      <c r="E1599" t="s">
        <v>333</v>
      </c>
      <c r="F1599" t="s">
        <v>333</v>
      </c>
      <c r="G1599" s="1">
        <v>42356</v>
      </c>
      <c r="H1599" s="1">
        <v>42430</v>
      </c>
      <c r="J1599" t="s">
        <v>7648</v>
      </c>
      <c r="K1599" t="s">
        <v>7649</v>
      </c>
      <c r="L1599" t="s">
        <v>271</v>
      </c>
      <c r="M1599" t="s">
        <v>7650</v>
      </c>
      <c r="N1599">
        <v>910.68</v>
      </c>
      <c r="O1599" t="s">
        <v>7651</v>
      </c>
      <c r="P1599" t="s">
        <v>18</v>
      </c>
    </row>
    <row r="1600" spans="1:16" x14ac:dyDescent="0.35">
      <c r="A1600">
        <v>4014256</v>
      </c>
      <c r="B1600" t="s">
        <v>7652</v>
      </c>
      <c r="C1600" t="str">
        <f>"9781474248303"</f>
        <v>9781474248303</v>
      </c>
      <c r="D1600" t="str">
        <f>"9781474248365"</f>
        <v>9781474248365</v>
      </c>
      <c r="E1600" t="s">
        <v>354</v>
      </c>
      <c r="F1600" t="s">
        <v>355</v>
      </c>
      <c r="G1600" s="1">
        <v>42355</v>
      </c>
      <c r="H1600" s="1">
        <v>42348</v>
      </c>
      <c r="I1600">
        <v>1</v>
      </c>
      <c r="J1600" t="s">
        <v>7653</v>
      </c>
      <c r="K1600" t="s">
        <v>7654</v>
      </c>
      <c r="L1600" t="s">
        <v>35</v>
      </c>
      <c r="M1600" t="s">
        <v>7655</v>
      </c>
      <c r="N1600">
        <v>418.00285000000002</v>
      </c>
      <c r="O1600" t="s">
        <v>7656</v>
      </c>
      <c r="P1600" t="s">
        <v>18</v>
      </c>
    </row>
    <row r="1601" spans="1:16" x14ac:dyDescent="0.35">
      <c r="A1601">
        <v>4392511</v>
      </c>
      <c r="B1601" t="s">
        <v>7657</v>
      </c>
      <c r="C1601" t="str">
        <f>"9781780643236"</f>
        <v>9781780643236</v>
      </c>
      <c r="D1601" t="str">
        <f>"9781780643243"</f>
        <v>9781780643243</v>
      </c>
      <c r="E1601" t="s">
        <v>333</v>
      </c>
      <c r="F1601" t="s">
        <v>333</v>
      </c>
      <c r="G1601" s="1">
        <v>42354</v>
      </c>
      <c r="H1601" s="1">
        <v>42419</v>
      </c>
      <c r="K1601" t="s">
        <v>7658</v>
      </c>
      <c r="L1601" t="s">
        <v>168</v>
      </c>
      <c r="M1601" t="s">
        <v>7659</v>
      </c>
      <c r="N1601">
        <v>632.9</v>
      </c>
      <c r="O1601" t="s">
        <v>7660</v>
      </c>
      <c r="P1601" t="s">
        <v>18</v>
      </c>
    </row>
    <row r="1602" spans="1:16" x14ac:dyDescent="0.35">
      <c r="A1602">
        <v>4181347</v>
      </c>
      <c r="B1602" t="s">
        <v>7661</v>
      </c>
      <c r="C1602" t="str">
        <f>"9780128038307"</f>
        <v>9780128038307</v>
      </c>
      <c r="D1602" t="str">
        <f>"9780128039007"</f>
        <v>9780128039007</v>
      </c>
      <c r="E1602" t="s">
        <v>190</v>
      </c>
      <c r="F1602" t="s">
        <v>282</v>
      </c>
      <c r="G1602" s="1">
        <v>42353</v>
      </c>
      <c r="H1602" s="1">
        <v>42347</v>
      </c>
      <c r="I1602">
        <v>2</v>
      </c>
      <c r="K1602" t="s">
        <v>7364</v>
      </c>
      <c r="L1602" t="s">
        <v>87</v>
      </c>
      <c r="M1602" t="s">
        <v>7662</v>
      </c>
      <c r="N1602">
        <v>720.47</v>
      </c>
      <c r="O1602" t="s">
        <v>7663</v>
      </c>
      <c r="P1602" t="s">
        <v>18</v>
      </c>
    </row>
    <row r="1603" spans="1:16" x14ac:dyDescent="0.35">
      <c r="A1603">
        <v>4107630</v>
      </c>
      <c r="B1603" t="s">
        <v>7664</v>
      </c>
      <c r="C1603" t="str">
        <f>"9781440843075"</f>
        <v>9781440843075</v>
      </c>
      <c r="D1603" t="str">
        <f>"9781440843082"</f>
        <v>9781440843082</v>
      </c>
      <c r="E1603" t="s">
        <v>440</v>
      </c>
      <c r="F1603" t="s">
        <v>441</v>
      </c>
      <c r="G1603" s="1">
        <v>42352</v>
      </c>
      <c r="H1603" s="1">
        <v>42360</v>
      </c>
      <c r="K1603" t="s">
        <v>6160</v>
      </c>
      <c r="L1603" t="s">
        <v>283</v>
      </c>
      <c r="M1603" t="s">
        <v>7665</v>
      </c>
      <c r="N1603">
        <v>363.72820000000002</v>
      </c>
      <c r="O1603" t="s">
        <v>7666</v>
      </c>
      <c r="P1603" t="s">
        <v>18</v>
      </c>
    </row>
    <row r="1604" spans="1:16" x14ac:dyDescent="0.35">
      <c r="A1604">
        <v>4415089</v>
      </c>
      <c r="B1604" t="s">
        <v>7667</v>
      </c>
      <c r="C1604" t="str">
        <f>"9783038356462"</f>
        <v>9783038356462</v>
      </c>
      <c r="D1604" t="str">
        <f>"9783035701272"</f>
        <v>9783035701272</v>
      </c>
      <c r="E1604" t="s">
        <v>1649</v>
      </c>
      <c r="F1604" t="s">
        <v>1649</v>
      </c>
      <c r="G1604" s="1">
        <v>42341</v>
      </c>
      <c r="H1604" s="1">
        <v>42622</v>
      </c>
      <c r="I1604">
        <v>1</v>
      </c>
      <c r="J1604" t="s">
        <v>4195</v>
      </c>
      <c r="K1604" t="s">
        <v>7251</v>
      </c>
      <c r="L1604" t="s">
        <v>7668</v>
      </c>
      <c r="P1604" t="s">
        <v>18</v>
      </c>
    </row>
    <row r="1605" spans="1:16" x14ac:dyDescent="0.35">
      <c r="A1605">
        <v>4448143</v>
      </c>
      <c r="B1605" t="s">
        <v>7669</v>
      </c>
      <c r="C1605" t="str">
        <f>"9781466697232"</f>
        <v>9781466697232</v>
      </c>
      <c r="D1605" t="str">
        <f>"9781466697249"</f>
        <v>9781466697249</v>
      </c>
      <c r="E1605" t="s">
        <v>138</v>
      </c>
      <c r="F1605" t="s">
        <v>138</v>
      </c>
      <c r="G1605" s="1">
        <v>42341</v>
      </c>
      <c r="H1605" s="1">
        <v>42458</v>
      </c>
      <c r="K1605" t="s">
        <v>2522</v>
      </c>
      <c r="L1605" t="s">
        <v>3680</v>
      </c>
      <c r="M1605" t="s">
        <v>7670</v>
      </c>
      <c r="N1605" t="s">
        <v>7671</v>
      </c>
      <c r="O1605" t="s">
        <v>7672</v>
      </c>
      <c r="P1605" t="s">
        <v>18</v>
      </c>
    </row>
    <row r="1606" spans="1:16" x14ac:dyDescent="0.35">
      <c r="A1606">
        <v>4179311</v>
      </c>
      <c r="B1606" t="s">
        <v>7673</v>
      </c>
      <c r="C1606" t="str">
        <f>"9780128001189"</f>
        <v>9780128001189</v>
      </c>
      <c r="D1606" t="str">
        <f>"9780128006368"</f>
        <v>9780128006368</v>
      </c>
      <c r="E1606" t="s">
        <v>190</v>
      </c>
      <c r="F1606" t="s">
        <v>191</v>
      </c>
      <c r="G1606" s="1">
        <v>42340</v>
      </c>
      <c r="H1606" s="1">
        <v>42335</v>
      </c>
      <c r="K1606" t="s">
        <v>7674</v>
      </c>
      <c r="L1606" t="s">
        <v>5553</v>
      </c>
      <c r="M1606" t="s">
        <v>7675</v>
      </c>
      <c r="N1606">
        <v>621.31700000000001</v>
      </c>
      <c r="O1606" t="s">
        <v>7676</v>
      </c>
      <c r="P1606" t="s">
        <v>18</v>
      </c>
    </row>
    <row r="1607" spans="1:16" x14ac:dyDescent="0.35">
      <c r="A1607">
        <v>4004030</v>
      </c>
      <c r="B1607" t="s">
        <v>7677</v>
      </c>
      <c r="C1607" t="str">
        <f>"9781782389705"</f>
        <v>9781782389705</v>
      </c>
      <c r="D1607" t="str">
        <f>"9781782389712"</f>
        <v>9781782389712</v>
      </c>
      <c r="E1607" t="s">
        <v>447</v>
      </c>
      <c r="F1607" t="s">
        <v>447</v>
      </c>
      <c r="G1607" s="1">
        <v>42339</v>
      </c>
      <c r="H1607" s="1">
        <v>42425</v>
      </c>
      <c r="I1607">
        <v>1</v>
      </c>
      <c r="J1607" t="s">
        <v>4594</v>
      </c>
      <c r="K1607" t="s">
        <v>7678</v>
      </c>
      <c r="L1607" t="s">
        <v>283</v>
      </c>
      <c r="M1607" t="s">
        <v>7679</v>
      </c>
      <c r="N1607" t="s">
        <v>7680</v>
      </c>
      <c r="P1607" t="s">
        <v>18</v>
      </c>
    </row>
    <row r="1608" spans="1:16" x14ac:dyDescent="0.35">
      <c r="A1608">
        <v>5023190</v>
      </c>
      <c r="B1608" t="s">
        <v>7681</v>
      </c>
      <c r="C1608" t="str">
        <f>"9783736991569"</f>
        <v>9783736991569</v>
      </c>
      <c r="D1608" t="str">
        <f>"9783736981560"</f>
        <v>9783736981560</v>
      </c>
      <c r="E1608" t="s">
        <v>2357</v>
      </c>
      <c r="F1608" t="s">
        <v>2357</v>
      </c>
      <c r="G1608" s="1">
        <v>42339</v>
      </c>
      <c r="H1608" s="1">
        <v>42984</v>
      </c>
      <c r="I1608">
        <v>1</v>
      </c>
      <c r="K1608" t="s">
        <v>7682</v>
      </c>
      <c r="L1608" t="s">
        <v>168</v>
      </c>
      <c r="M1608" t="s">
        <v>7683</v>
      </c>
      <c r="N1608">
        <v>634.9</v>
      </c>
      <c r="O1608" t="s">
        <v>7684</v>
      </c>
      <c r="P1608" t="s">
        <v>18</v>
      </c>
    </row>
    <row r="1609" spans="1:16" x14ac:dyDescent="0.35">
      <c r="A1609">
        <v>4415071</v>
      </c>
      <c r="B1609" t="s">
        <v>7685</v>
      </c>
      <c r="C1609" t="str">
        <f>"9783038356042"</f>
        <v>9783038356042</v>
      </c>
      <c r="D1609" t="str">
        <f>"9783035700794"</f>
        <v>9783035700794</v>
      </c>
      <c r="E1609" t="s">
        <v>1649</v>
      </c>
      <c r="F1609" t="s">
        <v>1649</v>
      </c>
      <c r="G1609" s="1">
        <v>42338</v>
      </c>
      <c r="H1609" s="1">
        <v>42622</v>
      </c>
      <c r="I1609">
        <v>1</v>
      </c>
      <c r="J1609" t="s">
        <v>4195</v>
      </c>
      <c r="K1609" t="s">
        <v>7390</v>
      </c>
      <c r="L1609" t="s">
        <v>208</v>
      </c>
      <c r="P1609" t="s">
        <v>18</v>
      </c>
    </row>
    <row r="1610" spans="1:16" x14ac:dyDescent="0.35">
      <c r="A1610">
        <v>4501501</v>
      </c>
      <c r="B1610" t="s">
        <v>7686</v>
      </c>
      <c r="C1610" t="str">
        <f>"9781782545781"</f>
        <v>9781782545781</v>
      </c>
      <c r="D1610" t="str">
        <f>"9781782545798"</f>
        <v>9781782545798</v>
      </c>
      <c r="E1610" t="s">
        <v>2080</v>
      </c>
      <c r="F1610" t="s">
        <v>7033</v>
      </c>
      <c r="G1610" s="1">
        <v>42338</v>
      </c>
      <c r="H1610" s="1">
        <v>42471</v>
      </c>
      <c r="I1610">
        <v>1</v>
      </c>
      <c r="K1610" t="s">
        <v>7687</v>
      </c>
      <c r="L1610" t="s">
        <v>368</v>
      </c>
      <c r="M1610" t="s">
        <v>7688</v>
      </c>
      <c r="N1610">
        <v>333.7</v>
      </c>
      <c r="O1610" t="s">
        <v>7689</v>
      </c>
      <c r="P1610" t="s">
        <v>18</v>
      </c>
    </row>
    <row r="1611" spans="1:16" x14ac:dyDescent="0.35">
      <c r="A1611">
        <v>4013180</v>
      </c>
      <c r="B1611" t="s">
        <v>7690</v>
      </c>
      <c r="C1611" t="str">
        <f>"9780128012314"</f>
        <v>9780128012314</v>
      </c>
      <c r="D1611" t="str">
        <f>"9780128013533"</f>
        <v>9780128013533</v>
      </c>
      <c r="E1611" t="s">
        <v>190</v>
      </c>
      <c r="F1611" t="s">
        <v>191</v>
      </c>
      <c r="G1611" s="1">
        <v>42335</v>
      </c>
      <c r="H1611" s="1">
        <v>42304</v>
      </c>
      <c r="K1611" t="s">
        <v>7691</v>
      </c>
      <c r="L1611" t="s">
        <v>7692</v>
      </c>
      <c r="M1611" t="s">
        <v>7693</v>
      </c>
      <c r="N1611" t="s">
        <v>7694</v>
      </c>
      <c r="O1611" t="s">
        <v>7695</v>
      </c>
      <c r="P1611" t="s">
        <v>18</v>
      </c>
    </row>
    <row r="1612" spans="1:16" x14ac:dyDescent="0.35">
      <c r="A1612">
        <v>4188292</v>
      </c>
      <c r="B1612" t="s">
        <v>7696</v>
      </c>
      <c r="C1612" t="str">
        <f>"9780128025062"</f>
        <v>9780128025062</v>
      </c>
      <c r="D1612" t="str">
        <f>"9780128026441"</f>
        <v>9780128026441</v>
      </c>
      <c r="E1612" t="s">
        <v>1699</v>
      </c>
      <c r="F1612" t="s">
        <v>1699</v>
      </c>
      <c r="G1612" s="1">
        <v>42335</v>
      </c>
      <c r="H1612" s="1">
        <v>42348</v>
      </c>
      <c r="I1612">
        <v>2</v>
      </c>
      <c r="K1612" t="s">
        <v>7697</v>
      </c>
      <c r="L1612" t="s">
        <v>195</v>
      </c>
      <c r="M1612" t="s">
        <v>242</v>
      </c>
      <c r="N1612" t="s">
        <v>7698</v>
      </c>
      <c r="O1612" t="s">
        <v>7699</v>
      </c>
      <c r="P1612" t="s">
        <v>18</v>
      </c>
    </row>
    <row r="1613" spans="1:16" x14ac:dyDescent="0.35">
      <c r="A1613">
        <v>4415079</v>
      </c>
      <c r="B1613" t="s">
        <v>7700</v>
      </c>
      <c r="C1613" t="str">
        <f>"9783038356196"</f>
        <v>9783038356196</v>
      </c>
      <c r="D1613" t="str">
        <f>"9783035700985"</f>
        <v>9783035700985</v>
      </c>
      <c r="E1613" t="s">
        <v>1649</v>
      </c>
      <c r="F1613" t="s">
        <v>1649</v>
      </c>
      <c r="G1613" s="1">
        <v>42333</v>
      </c>
      <c r="H1613" s="1">
        <v>42622</v>
      </c>
      <c r="I1613">
        <v>1</v>
      </c>
      <c r="J1613" t="s">
        <v>4195</v>
      </c>
      <c r="K1613" t="s">
        <v>7701</v>
      </c>
      <c r="L1613" t="s">
        <v>7702</v>
      </c>
      <c r="P1613" t="s">
        <v>18</v>
      </c>
    </row>
    <row r="1614" spans="1:16" x14ac:dyDescent="0.35">
      <c r="A1614">
        <v>4100882</v>
      </c>
      <c r="B1614" t="s">
        <v>7703</v>
      </c>
      <c r="C1614" t="str">
        <f>"9781782422136"</f>
        <v>9781782422136</v>
      </c>
      <c r="D1614" t="str">
        <f>"9781782422181"</f>
        <v>9781782422181</v>
      </c>
      <c r="E1614" t="s">
        <v>190</v>
      </c>
      <c r="F1614" t="s">
        <v>280</v>
      </c>
      <c r="G1614" s="1">
        <v>42327</v>
      </c>
      <c r="H1614" s="1">
        <v>42342</v>
      </c>
      <c r="J1614" t="s">
        <v>3018</v>
      </c>
      <c r="K1614" t="s">
        <v>7704</v>
      </c>
      <c r="L1614" t="s">
        <v>93</v>
      </c>
      <c r="M1614" t="s">
        <v>7705</v>
      </c>
      <c r="N1614">
        <v>697.02859999999998</v>
      </c>
      <c r="O1614" t="s">
        <v>7706</v>
      </c>
      <c r="P1614" t="s">
        <v>18</v>
      </c>
    </row>
    <row r="1615" spans="1:16" x14ac:dyDescent="0.35">
      <c r="A1615">
        <v>4003763</v>
      </c>
      <c r="B1615" t="s">
        <v>7707</v>
      </c>
      <c r="C1615" t="str">
        <f>"9780124077768"</f>
        <v>9780124077768</v>
      </c>
      <c r="D1615" t="str">
        <f>"9780124078970"</f>
        <v>9780124078970</v>
      </c>
      <c r="E1615" t="s">
        <v>190</v>
      </c>
      <c r="F1615" t="s">
        <v>191</v>
      </c>
      <c r="G1615" s="1">
        <v>42318</v>
      </c>
      <c r="H1615" s="1">
        <v>42347</v>
      </c>
      <c r="I1615">
        <v>2</v>
      </c>
      <c r="K1615" t="s">
        <v>7708</v>
      </c>
      <c r="L1615" t="s">
        <v>31</v>
      </c>
      <c r="M1615" t="s">
        <v>7709</v>
      </c>
      <c r="N1615">
        <v>628.5</v>
      </c>
      <c r="O1615" t="s">
        <v>7710</v>
      </c>
      <c r="P1615" t="s">
        <v>18</v>
      </c>
    </row>
    <row r="1616" spans="1:16" x14ac:dyDescent="0.35">
      <c r="A1616">
        <v>4050823</v>
      </c>
      <c r="B1616" t="s">
        <v>7711</v>
      </c>
      <c r="C1616" t="str">
        <f>"9780128032848"</f>
        <v>9780128032848</v>
      </c>
      <c r="D1616" t="str">
        <f>"9780128032855"</f>
        <v>9780128032855</v>
      </c>
      <c r="E1616" t="s">
        <v>190</v>
      </c>
      <c r="F1616" t="s">
        <v>286</v>
      </c>
      <c r="G1616" s="1">
        <v>42318</v>
      </c>
      <c r="H1616" s="1">
        <v>42302</v>
      </c>
      <c r="K1616" t="s">
        <v>7712</v>
      </c>
      <c r="L1616" t="s">
        <v>7713</v>
      </c>
      <c r="M1616" t="s">
        <v>7714</v>
      </c>
      <c r="N1616">
        <v>720.47</v>
      </c>
      <c r="O1616" t="s">
        <v>7715</v>
      </c>
      <c r="P1616" t="s">
        <v>18</v>
      </c>
    </row>
    <row r="1617" spans="1:16" x14ac:dyDescent="0.35">
      <c r="A1617">
        <v>4093233</v>
      </c>
      <c r="B1617" t="s">
        <v>7716</v>
      </c>
      <c r="C1617" t="str">
        <f>"9781466688148"</f>
        <v>9781466688148</v>
      </c>
      <c r="D1617" t="str">
        <f>"9781466688155"</f>
        <v>9781466688155</v>
      </c>
      <c r="E1617" t="s">
        <v>138</v>
      </c>
      <c r="F1617" t="s">
        <v>138</v>
      </c>
      <c r="G1617" s="1">
        <v>42313</v>
      </c>
      <c r="H1617" s="1">
        <v>42327</v>
      </c>
      <c r="J1617" t="s">
        <v>7377</v>
      </c>
      <c r="K1617" t="s">
        <v>7717</v>
      </c>
      <c r="L1617" t="s">
        <v>438</v>
      </c>
      <c r="M1617" t="s">
        <v>7718</v>
      </c>
      <c r="N1617" t="s">
        <v>130</v>
      </c>
      <c r="P1617" t="s">
        <v>18</v>
      </c>
    </row>
    <row r="1618" spans="1:16" x14ac:dyDescent="0.35">
      <c r="A1618">
        <v>4082468</v>
      </c>
      <c r="B1618" t="s">
        <v>7719</v>
      </c>
      <c r="C1618" t="str">
        <f>"9780128036150"</f>
        <v>9780128036150</v>
      </c>
      <c r="D1618" t="str">
        <f>"9780128036464"</f>
        <v>9780128036464</v>
      </c>
      <c r="E1618" t="s">
        <v>190</v>
      </c>
      <c r="F1618" t="s">
        <v>191</v>
      </c>
      <c r="G1618" s="1">
        <v>42312</v>
      </c>
      <c r="H1618" s="1">
        <v>42313</v>
      </c>
      <c r="K1618" t="s">
        <v>7720</v>
      </c>
      <c r="L1618" t="s">
        <v>26</v>
      </c>
      <c r="M1618" t="s">
        <v>7721</v>
      </c>
      <c r="N1618">
        <v>338.9</v>
      </c>
      <c r="O1618" t="s">
        <v>7722</v>
      </c>
      <c r="P1618" t="s">
        <v>18</v>
      </c>
    </row>
    <row r="1619" spans="1:16" x14ac:dyDescent="0.35">
      <c r="A1619">
        <v>4723659</v>
      </c>
      <c r="B1619" t="s">
        <v>7723</v>
      </c>
      <c r="C1619" t="str">
        <f>"9781785609046"</f>
        <v>9781785609046</v>
      </c>
      <c r="D1619" t="str">
        <f>"9781785609039"</f>
        <v>9781785609039</v>
      </c>
      <c r="E1619" t="s">
        <v>187</v>
      </c>
      <c r="F1619" t="s">
        <v>187</v>
      </c>
      <c r="G1619" s="1">
        <v>42307</v>
      </c>
      <c r="H1619" s="1">
        <v>43355</v>
      </c>
      <c r="J1619" t="s">
        <v>7724</v>
      </c>
      <c r="K1619" t="s">
        <v>7725</v>
      </c>
      <c r="L1619" t="s">
        <v>28</v>
      </c>
      <c r="M1619" t="s">
        <v>4947</v>
      </c>
      <c r="N1619">
        <v>658.7</v>
      </c>
      <c r="O1619" t="s">
        <v>7726</v>
      </c>
      <c r="P1619" t="s">
        <v>18</v>
      </c>
    </row>
    <row r="1620" spans="1:16" x14ac:dyDescent="0.35">
      <c r="A1620">
        <v>2198076</v>
      </c>
      <c r="B1620" t="s">
        <v>7727</v>
      </c>
      <c r="C1620" t="str">
        <f>"9781784718275"</f>
        <v>9781784718275</v>
      </c>
      <c r="D1620" t="str">
        <f>"9781784718282"</f>
        <v>9781784718282</v>
      </c>
      <c r="E1620" t="s">
        <v>2080</v>
      </c>
      <c r="F1620" t="s">
        <v>7033</v>
      </c>
      <c r="G1620" s="1">
        <v>42305</v>
      </c>
      <c r="H1620" s="1">
        <v>42248</v>
      </c>
      <c r="I1620">
        <v>1</v>
      </c>
      <c r="K1620" t="s">
        <v>7728</v>
      </c>
      <c r="L1620" t="s">
        <v>469</v>
      </c>
      <c r="M1620" t="s">
        <v>7729</v>
      </c>
      <c r="N1620">
        <v>306.34899999999999</v>
      </c>
      <c r="O1620" t="s">
        <v>7730</v>
      </c>
      <c r="P1620" t="s">
        <v>18</v>
      </c>
    </row>
    <row r="1621" spans="1:16" x14ac:dyDescent="0.35">
      <c r="A1621">
        <v>4093225</v>
      </c>
      <c r="B1621" t="s">
        <v>7731</v>
      </c>
      <c r="C1621" t="str">
        <f>"9781466695597"</f>
        <v>9781466695597</v>
      </c>
      <c r="D1621" t="str">
        <f>"9781466695603"</f>
        <v>9781466695603</v>
      </c>
      <c r="E1621" t="s">
        <v>138</v>
      </c>
      <c r="F1621" t="s">
        <v>138</v>
      </c>
      <c r="G1621" s="1">
        <v>42304</v>
      </c>
      <c r="H1621" s="1">
        <v>42327</v>
      </c>
      <c r="J1621" t="s">
        <v>7350</v>
      </c>
      <c r="K1621" t="s">
        <v>7732</v>
      </c>
      <c r="L1621" t="s">
        <v>326</v>
      </c>
      <c r="M1621" t="s">
        <v>7733</v>
      </c>
      <c r="N1621" t="s">
        <v>7734</v>
      </c>
      <c r="P1621" t="s">
        <v>18</v>
      </c>
    </row>
    <row r="1622" spans="1:16" x14ac:dyDescent="0.35">
      <c r="A1622">
        <v>4093220</v>
      </c>
      <c r="B1622" t="s">
        <v>7735</v>
      </c>
      <c r="C1622" t="str">
        <f>"9781466695535"</f>
        <v>9781466695535</v>
      </c>
      <c r="D1622" t="str">
        <f>"9781466695542"</f>
        <v>9781466695542</v>
      </c>
      <c r="E1622" t="s">
        <v>138</v>
      </c>
      <c r="F1622" t="s">
        <v>138</v>
      </c>
      <c r="G1622" s="1">
        <v>42296</v>
      </c>
      <c r="H1622" s="1">
        <v>42327</v>
      </c>
      <c r="J1622" t="s">
        <v>7350</v>
      </c>
      <c r="K1622" t="s">
        <v>7736</v>
      </c>
      <c r="L1622" t="s">
        <v>180</v>
      </c>
      <c r="M1622" t="s">
        <v>7737</v>
      </c>
      <c r="N1622" t="s">
        <v>7738</v>
      </c>
      <c r="P1622" t="s">
        <v>18</v>
      </c>
    </row>
    <row r="1623" spans="1:16" x14ac:dyDescent="0.35">
      <c r="A1623">
        <v>4415127</v>
      </c>
      <c r="B1623" t="s">
        <v>7739</v>
      </c>
      <c r="C1623" t="str">
        <f>"9783038355984"</f>
        <v>9783038355984</v>
      </c>
      <c r="D1623" t="str">
        <f>"9783035700732"</f>
        <v>9783035700732</v>
      </c>
      <c r="E1623" t="s">
        <v>1649</v>
      </c>
      <c r="F1623" t="s">
        <v>1649</v>
      </c>
      <c r="G1623" s="1">
        <v>42296</v>
      </c>
      <c r="H1623" s="1">
        <v>42622</v>
      </c>
      <c r="I1623">
        <v>1</v>
      </c>
      <c r="J1623" t="s">
        <v>4195</v>
      </c>
      <c r="K1623" t="s">
        <v>7740</v>
      </c>
      <c r="L1623" t="s">
        <v>476</v>
      </c>
      <c r="P1623" t="s">
        <v>18</v>
      </c>
    </row>
    <row r="1624" spans="1:16" x14ac:dyDescent="0.35">
      <c r="A1624">
        <v>4003907</v>
      </c>
      <c r="B1624" t="s">
        <v>7741</v>
      </c>
      <c r="C1624" t="str">
        <f>"9780128013090"</f>
        <v>9780128013090</v>
      </c>
      <c r="D1624" t="str">
        <f>"9780128014691"</f>
        <v>9780128014691</v>
      </c>
      <c r="E1624" t="s">
        <v>190</v>
      </c>
      <c r="F1624" t="s">
        <v>191</v>
      </c>
      <c r="G1624" s="1">
        <v>42292</v>
      </c>
      <c r="H1624" s="1">
        <v>42312</v>
      </c>
      <c r="K1624" t="s">
        <v>7742</v>
      </c>
      <c r="L1624" t="s">
        <v>168</v>
      </c>
      <c r="M1624" t="s">
        <v>7743</v>
      </c>
      <c r="N1624" t="s">
        <v>7744</v>
      </c>
      <c r="O1624" t="s">
        <v>7745</v>
      </c>
      <c r="P1624" t="s">
        <v>18</v>
      </c>
    </row>
    <row r="1625" spans="1:16" x14ac:dyDescent="0.35">
      <c r="A1625">
        <v>4007275</v>
      </c>
      <c r="B1625" t="s">
        <v>7746</v>
      </c>
      <c r="C1625" t="str">
        <f>"9781782388685"</f>
        <v>9781782388685</v>
      </c>
      <c r="D1625" t="str">
        <f>"9781782388692"</f>
        <v>9781782388692</v>
      </c>
      <c r="E1625" t="s">
        <v>447</v>
      </c>
      <c r="F1625" t="s">
        <v>447</v>
      </c>
      <c r="G1625" s="1">
        <v>42278</v>
      </c>
      <c r="H1625" s="1">
        <v>42425</v>
      </c>
      <c r="I1625">
        <v>1</v>
      </c>
      <c r="J1625" t="s">
        <v>7747</v>
      </c>
      <c r="K1625" t="s">
        <v>7748</v>
      </c>
      <c r="L1625" t="s">
        <v>52</v>
      </c>
      <c r="M1625" t="s">
        <v>7749</v>
      </c>
      <c r="N1625">
        <v>69.028546779999999</v>
      </c>
      <c r="O1625" t="s">
        <v>7750</v>
      </c>
      <c r="P1625" t="s">
        <v>18</v>
      </c>
    </row>
    <row r="1626" spans="1:16" x14ac:dyDescent="0.35">
      <c r="A1626">
        <v>3563657</v>
      </c>
      <c r="B1626" t="s">
        <v>7751</v>
      </c>
      <c r="C1626" t="str">
        <f>"9781784719418"</f>
        <v>9781784719418</v>
      </c>
      <c r="D1626" t="str">
        <f>"9781784719425"</f>
        <v>9781784719425</v>
      </c>
      <c r="E1626" t="s">
        <v>2080</v>
      </c>
      <c r="F1626" t="s">
        <v>7033</v>
      </c>
      <c r="G1626" s="1">
        <v>42277</v>
      </c>
      <c r="H1626" s="1">
        <v>42212</v>
      </c>
      <c r="J1626" t="s">
        <v>7752</v>
      </c>
      <c r="K1626" t="s">
        <v>7753</v>
      </c>
      <c r="L1626" t="s">
        <v>105</v>
      </c>
      <c r="M1626" t="s">
        <v>7754</v>
      </c>
      <c r="N1626">
        <v>363.7</v>
      </c>
      <c r="O1626" t="s">
        <v>7755</v>
      </c>
      <c r="P1626" t="s">
        <v>18</v>
      </c>
    </row>
    <row r="1627" spans="1:16" x14ac:dyDescent="0.35">
      <c r="A1627">
        <v>4003608</v>
      </c>
      <c r="B1627" t="s">
        <v>7756</v>
      </c>
      <c r="C1627" t="str">
        <f>"9780124072329"</f>
        <v>9780124072329</v>
      </c>
      <c r="D1627" t="str">
        <f>"9780124076594"</f>
        <v>9780124076594</v>
      </c>
      <c r="E1627" t="s">
        <v>1699</v>
      </c>
      <c r="F1627" t="s">
        <v>1699</v>
      </c>
      <c r="G1627" s="1">
        <v>42276</v>
      </c>
      <c r="H1627" s="1">
        <v>42312</v>
      </c>
      <c r="K1627" t="s">
        <v>7757</v>
      </c>
      <c r="L1627" t="s">
        <v>7758</v>
      </c>
      <c r="M1627" t="s">
        <v>7759</v>
      </c>
      <c r="N1627" t="s">
        <v>7760</v>
      </c>
      <c r="O1627" t="s">
        <v>7761</v>
      </c>
      <c r="P1627" t="s">
        <v>18</v>
      </c>
    </row>
    <row r="1628" spans="1:16" x14ac:dyDescent="0.35">
      <c r="A1628">
        <v>2190541</v>
      </c>
      <c r="B1628" t="s">
        <v>7762</v>
      </c>
      <c r="C1628" t="str">
        <f>"9781780643922"</f>
        <v>9781780643922</v>
      </c>
      <c r="D1628" t="str">
        <f>"9781780643939"</f>
        <v>9781780643939</v>
      </c>
      <c r="E1628" t="s">
        <v>333</v>
      </c>
      <c r="F1628" t="s">
        <v>333</v>
      </c>
      <c r="G1628" s="1">
        <v>42272</v>
      </c>
      <c r="H1628" s="1">
        <v>42240</v>
      </c>
      <c r="K1628" t="s">
        <v>7763</v>
      </c>
      <c r="L1628" t="s">
        <v>335</v>
      </c>
      <c r="M1628" t="s">
        <v>7764</v>
      </c>
      <c r="N1628" t="s">
        <v>156</v>
      </c>
      <c r="O1628" t="s">
        <v>7765</v>
      </c>
      <c r="P1628" t="s">
        <v>18</v>
      </c>
    </row>
    <row r="1629" spans="1:16" x14ac:dyDescent="0.35">
      <c r="A1629">
        <v>2122451</v>
      </c>
      <c r="B1629" t="s">
        <v>7766</v>
      </c>
      <c r="C1629" t="str">
        <f>"9780128040409"</f>
        <v>9780128040409</v>
      </c>
      <c r="D1629" t="str">
        <f>"9780128040928"</f>
        <v>9780128040928</v>
      </c>
      <c r="E1629" t="s">
        <v>190</v>
      </c>
      <c r="F1629" t="s">
        <v>282</v>
      </c>
      <c r="G1629" s="1">
        <v>42248</v>
      </c>
      <c r="H1629" s="1">
        <v>42221</v>
      </c>
      <c r="K1629" t="s">
        <v>7767</v>
      </c>
      <c r="L1629" t="s">
        <v>5637</v>
      </c>
      <c r="M1629" t="s">
        <v>7768</v>
      </c>
      <c r="N1629" t="s">
        <v>7769</v>
      </c>
      <c r="O1629" t="s">
        <v>7770</v>
      </c>
      <c r="P1629" t="s">
        <v>18</v>
      </c>
    </row>
    <row r="1630" spans="1:16" x14ac:dyDescent="0.35">
      <c r="A1630">
        <v>3563666</v>
      </c>
      <c r="B1630" t="s">
        <v>7771</v>
      </c>
      <c r="C1630" t="str">
        <f>"9781783477494"</f>
        <v>9781783477494</v>
      </c>
      <c r="D1630" t="str">
        <f>"9781783477500"</f>
        <v>9781783477500</v>
      </c>
      <c r="E1630" t="s">
        <v>2080</v>
      </c>
      <c r="F1630" t="s">
        <v>7033</v>
      </c>
      <c r="G1630" s="1">
        <v>42246</v>
      </c>
      <c r="H1630" s="1">
        <v>42212</v>
      </c>
      <c r="J1630" t="s">
        <v>7772</v>
      </c>
      <c r="K1630" t="s">
        <v>7773</v>
      </c>
      <c r="L1630" t="s">
        <v>28</v>
      </c>
      <c r="M1630" t="s">
        <v>7774</v>
      </c>
      <c r="N1630">
        <v>658.40800000000002</v>
      </c>
      <c r="O1630" t="s">
        <v>7775</v>
      </c>
      <c r="P1630" t="s">
        <v>18</v>
      </c>
    </row>
    <row r="1631" spans="1:16" x14ac:dyDescent="0.35">
      <c r="A1631">
        <v>3563681</v>
      </c>
      <c r="B1631" t="s">
        <v>7776</v>
      </c>
      <c r="C1631" t="str">
        <f>"9781782547020"</f>
        <v>9781782547020</v>
      </c>
      <c r="D1631" t="str">
        <f>"9781782547037"</f>
        <v>9781782547037</v>
      </c>
      <c r="E1631" t="s">
        <v>2080</v>
      </c>
      <c r="F1631" t="s">
        <v>7033</v>
      </c>
      <c r="G1631" s="1">
        <v>42246</v>
      </c>
      <c r="H1631" s="1">
        <v>42220</v>
      </c>
      <c r="J1631" t="s">
        <v>7777</v>
      </c>
      <c r="K1631" t="s">
        <v>7778</v>
      </c>
      <c r="L1631" t="s">
        <v>41</v>
      </c>
      <c r="M1631" t="s">
        <v>7779</v>
      </c>
      <c r="N1631">
        <v>331.702</v>
      </c>
      <c r="O1631" t="s">
        <v>7780</v>
      </c>
      <c r="P1631" t="s">
        <v>18</v>
      </c>
    </row>
    <row r="1632" spans="1:16" x14ac:dyDescent="0.35">
      <c r="A1632">
        <v>6567851</v>
      </c>
      <c r="B1632" t="s">
        <v>7781</v>
      </c>
      <c r="C1632" t="str">
        <f>""</f>
        <v/>
      </c>
      <c r="D1632" t="str">
        <f>"9783110625738"</f>
        <v>9783110625738</v>
      </c>
      <c r="E1632" t="s">
        <v>404</v>
      </c>
      <c r="F1632" t="s">
        <v>404</v>
      </c>
      <c r="G1632" s="1">
        <v>42244</v>
      </c>
      <c r="H1632" s="1">
        <v>44313</v>
      </c>
      <c r="I1632">
        <v>2</v>
      </c>
      <c r="K1632" t="s">
        <v>7782</v>
      </c>
      <c r="L1632" t="s">
        <v>7783</v>
      </c>
      <c r="M1632" t="s">
        <v>7784</v>
      </c>
      <c r="N1632" t="s">
        <v>7785</v>
      </c>
      <c r="O1632" t="s">
        <v>3584</v>
      </c>
      <c r="P1632" t="s">
        <v>18</v>
      </c>
    </row>
    <row r="1633" spans="1:16" x14ac:dyDescent="0.35">
      <c r="A1633">
        <v>2123568</v>
      </c>
      <c r="B1633" t="s">
        <v>7786</v>
      </c>
      <c r="C1633" t="str">
        <f>"9783038355045"</f>
        <v>9783038355045</v>
      </c>
      <c r="D1633" t="str">
        <f>"9783038269748"</f>
        <v>9783038269748</v>
      </c>
      <c r="E1633" t="s">
        <v>1649</v>
      </c>
      <c r="F1633" t="s">
        <v>1649</v>
      </c>
      <c r="G1633" s="1">
        <v>42239</v>
      </c>
      <c r="H1633" s="1">
        <v>42222</v>
      </c>
      <c r="I1633">
        <v>1</v>
      </c>
      <c r="J1633" t="s">
        <v>4195</v>
      </c>
      <c r="K1633" t="s">
        <v>7787</v>
      </c>
      <c r="L1633" t="s">
        <v>5980</v>
      </c>
      <c r="P1633" t="s">
        <v>18</v>
      </c>
    </row>
    <row r="1634" spans="1:16" x14ac:dyDescent="0.35">
      <c r="A1634">
        <v>2197271</v>
      </c>
      <c r="B1634" t="s">
        <v>7788</v>
      </c>
      <c r="C1634" t="str">
        <f>"9781782423393"</f>
        <v>9781782423393</v>
      </c>
      <c r="D1634" t="str">
        <f>"9781782423577"</f>
        <v>9781782423577</v>
      </c>
      <c r="E1634" t="s">
        <v>190</v>
      </c>
      <c r="F1634" t="s">
        <v>280</v>
      </c>
      <c r="G1634" s="1">
        <v>42237</v>
      </c>
      <c r="H1634" s="1">
        <v>42245</v>
      </c>
      <c r="J1634" t="s">
        <v>488</v>
      </c>
      <c r="K1634" t="s">
        <v>7789</v>
      </c>
      <c r="L1634" t="s">
        <v>7790</v>
      </c>
      <c r="M1634" t="s">
        <v>7791</v>
      </c>
      <c r="N1634">
        <v>646.4</v>
      </c>
      <c r="O1634" t="s">
        <v>7100</v>
      </c>
      <c r="P1634" t="s">
        <v>18</v>
      </c>
    </row>
    <row r="1635" spans="1:16" x14ac:dyDescent="0.35">
      <c r="A1635">
        <v>4003147</v>
      </c>
      <c r="B1635" t="s">
        <v>7792</v>
      </c>
      <c r="C1635" t="str">
        <f>"9780128044056"</f>
        <v>9780128044056</v>
      </c>
      <c r="D1635" t="str">
        <f>"9780128044063"</f>
        <v>9780128044063</v>
      </c>
      <c r="E1635" t="s">
        <v>190</v>
      </c>
      <c r="F1635" t="s">
        <v>191</v>
      </c>
      <c r="G1635" s="1">
        <v>42237</v>
      </c>
      <c r="H1635" s="1">
        <v>42342</v>
      </c>
      <c r="J1635" t="s">
        <v>7793</v>
      </c>
      <c r="K1635" t="s">
        <v>7794</v>
      </c>
      <c r="L1635" t="s">
        <v>480</v>
      </c>
      <c r="M1635" t="s">
        <v>7795</v>
      </c>
      <c r="N1635">
        <v>333.79320000000001</v>
      </c>
      <c r="O1635" t="s">
        <v>7796</v>
      </c>
      <c r="P1635" t="s">
        <v>18</v>
      </c>
    </row>
    <row r="1636" spans="1:16" x14ac:dyDescent="0.35">
      <c r="A1636">
        <v>2123564</v>
      </c>
      <c r="B1636" t="s">
        <v>7797</v>
      </c>
      <c r="C1636" t="str">
        <f>"9783038354994"</f>
        <v>9783038354994</v>
      </c>
      <c r="D1636" t="str">
        <f>"9783038269687"</f>
        <v>9783038269687</v>
      </c>
      <c r="E1636" t="s">
        <v>1649</v>
      </c>
      <c r="F1636" t="s">
        <v>1649</v>
      </c>
      <c r="G1636" s="1">
        <v>42236</v>
      </c>
      <c r="H1636" s="1">
        <v>42222</v>
      </c>
      <c r="I1636">
        <v>1</v>
      </c>
      <c r="J1636" t="s">
        <v>4195</v>
      </c>
      <c r="K1636" t="s">
        <v>7798</v>
      </c>
      <c r="L1636" t="s">
        <v>7799</v>
      </c>
      <c r="P1636" t="s">
        <v>18</v>
      </c>
    </row>
    <row r="1637" spans="1:16" x14ac:dyDescent="0.35">
      <c r="A1637">
        <v>2166959</v>
      </c>
      <c r="B1637" t="s">
        <v>7800</v>
      </c>
      <c r="C1637" t="str">
        <f>"9780124114975"</f>
        <v>9780124114975</v>
      </c>
      <c r="D1637" t="str">
        <f>"9780124115262"</f>
        <v>9780124115262</v>
      </c>
      <c r="E1637" t="s">
        <v>1699</v>
      </c>
      <c r="F1637" t="s">
        <v>1699</v>
      </c>
      <c r="G1637" s="1">
        <v>42236</v>
      </c>
      <c r="H1637" s="1">
        <v>42235</v>
      </c>
      <c r="K1637" t="s">
        <v>7801</v>
      </c>
      <c r="L1637" t="s">
        <v>4200</v>
      </c>
      <c r="M1637" t="s">
        <v>7802</v>
      </c>
      <c r="N1637">
        <v>658.4</v>
      </c>
      <c r="O1637" t="s">
        <v>7803</v>
      </c>
      <c r="P1637" t="s">
        <v>18</v>
      </c>
    </row>
    <row r="1638" spans="1:16" x14ac:dyDescent="0.35">
      <c r="A1638">
        <v>2123554</v>
      </c>
      <c r="B1638" t="s">
        <v>7804</v>
      </c>
      <c r="C1638" t="str">
        <f>"9783038354796"</f>
        <v>9783038354796</v>
      </c>
      <c r="D1638" t="str">
        <f>"9783038269441"</f>
        <v>9783038269441</v>
      </c>
      <c r="E1638" t="s">
        <v>1649</v>
      </c>
      <c r="F1638" t="s">
        <v>1649</v>
      </c>
      <c r="G1638" s="1">
        <v>42231</v>
      </c>
      <c r="H1638" s="1">
        <v>42222</v>
      </c>
      <c r="I1638">
        <v>1</v>
      </c>
      <c r="J1638" t="s">
        <v>4195</v>
      </c>
      <c r="K1638" t="s">
        <v>7805</v>
      </c>
      <c r="L1638" t="s">
        <v>115</v>
      </c>
      <c r="P1638" t="s">
        <v>18</v>
      </c>
    </row>
    <row r="1639" spans="1:16" x14ac:dyDescent="0.35">
      <c r="A1639">
        <v>2123555</v>
      </c>
      <c r="B1639" t="s">
        <v>7806</v>
      </c>
      <c r="C1639" t="str">
        <f>"9783038354819"</f>
        <v>9783038354819</v>
      </c>
      <c r="D1639" t="str">
        <f>"9783038269472"</f>
        <v>9783038269472</v>
      </c>
      <c r="E1639" t="s">
        <v>1649</v>
      </c>
      <c r="F1639" t="s">
        <v>1649</v>
      </c>
      <c r="G1639" s="1">
        <v>42228</v>
      </c>
      <c r="H1639" s="1">
        <v>42222</v>
      </c>
      <c r="I1639">
        <v>1</v>
      </c>
      <c r="J1639" t="s">
        <v>7419</v>
      </c>
      <c r="K1639" t="s">
        <v>7807</v>
      </c>
      <c r="L1639" t="s">
        <v>7808</v>
      </c>
      <c r="P1639" t="s">
        <v>18</v>
      </c>
    </row>
    <row r="1640" spans="1:16" x14ac:dyDescent="0.35">
      <c r="A1640">
        <v>2123578</v>
      </c>
      <c r="B1640" t="s">
        <v>7809</v>
      </c>
      <c r="C1640" t="str">
        <f>"9783038355151"</f>
        <v>9783038355151</v>
      </c>
      <c r="D1640" t="str">
        <f>"9783038269854"</f>
        <v>9783038269854</v>
      </c>
      <c r="E1640" t="s">
        <v>1649</v>
      </c>
      <c r="F1640" t="s">
        <v>1649</v>
      </c>
      <c r="G1640" s="1">
        <v>42228</v>
      </c>
      <c r="H1640" s="1">
        <v>42222</v>
      </c>
      <c r="I1640">
        <v>1</v>
      </c>
      <c r="J1640" t="s">
        <v>1938</v>
      </c>
      <c r="K1640" t="s">
        <v>7810</v>
      </c>
      <c r="L1640" t="s">
        <v>7259</v>
      </c>
      <c r="P1640" t="s">
        <v>18</v>
      </c>
    </row>
    <row r="1641" spans="1:16" x14ac:dyDescent="0.35">
      <c r="A1641">
        <v>4007443</v>
      </c>
      <c r="B1641" t="s">
        <v>7811</v>
      </c>
      <c r="C1641" t="str">
        <f>"9789004298842"</f>
        <v>9789004298842</v>
      </c>
      <c r="D1641" t="str">
        <f>"9789004299368"</f>
        <v>9789004299368</v>
      </c>
      <c r="E1641" t="s">
        <v>228</v>
      </c>
      <c r="F1641" t="s">
        <v>449</v>
      </c>
      <c r="G1641" s="1">
        <v>42223</v>
      </c>
      <c r="H1641" s="1">
        <v>42302</v>
      </c>
      <c r="I1641">
        <v>1</v>
      </c>
      <c r="J1641" t="s">
        <v>7812</v>
      </c>
      <c r="K1641" t="s">
        <v>7813</v>
      </c>
      <c r="L1641" t="s">
        <v>210</v>
      </c>
      <c r="M1641" t="s">
        <v>7814</v>
      </c>
      <c r="N1641">
        <v>304.2</v>
      </c>
      <c r="O1641" t="s">
        <v>7815</v>
      </c>
      <c r="P1641" t="s">
        <v>18</v>
      </c>
    </row>
    <row r="1642" spans="1:16" x14ac:dyDescent="0.35">
      <c r="A1642">
        <v>5023076</v>
      </c>
      <c r="B1642" t="s">
        <v>7816</v>
      </c>
      <c r="C1642" t="str">
        <f>"9783736990562"</f>
        <v>9783736990562</v>
      </c>
      <c r="D1642" t="str">
        <f>"9783736980563"</f>
        <v>9783736980563</v>
      </c>
      <c r="E1642" t="s">
        <v>2357</v>
      </c>
      <c r="F1642" t="s">
        <v>2357</v>
      </c>
      <c r="G1642" s="1">
        <v>42221</v>
      </c>
      <c r="H1642" s="1">
        <v>42984</v>
      </c>
      <c r="I1642">
        <v>1</v>
      </c>
      <c r="J1642" t="s">
        <v>7817</v>
      </c>
      <c r="K1642" t="s">
        <v>7818</v>
      </c>
      <c r="L1642" t="s">
        <v>41</v>
      </c>
      <c r="M1642" t="s">
        <v>7819</v>
      </c>
      <c r="N1642">
        <v>338.92700000000002</v>
      </c>
      <c r="O1642" t="s">
        <v>503</v>
      </c>
      <c r="P1642" t="s">
        <v>522</v>
      </c>
    </row>
    <row r="1643" spans="1:16" x14ac:dyDescent="0.35">
      <c r="A1643">
        <v>2084623</v>
      </c>
      <c r="B1643" t="s">
        <v>7820</v>
      </c>
      <c r="C1643" t="str">
        <f>"9783038354901"</f>
        <v>9783038354901</v>
      </c>
      <c r="D1643" t="str">
        <f>"9783038269571"</f>
        <v>9783038269571</v>
      </c>
      <c r="E1643" t="s">
        <v>1649</v>
      </c>
      <c r="F1643" t="s">
        <v>1649</v>
      </c>
      <c r="G1643" s="1">
        <v>42219</v>
      </c>
      <c r="H1643" s="1">
        <v>42194</v>
      </c>
      <c r="I1643">
        <v>1</v>
      </c>
      <c r="J1643" t="s">
        <v>1671</v>
      </c>
      <c r="K1643" t="s">
        <v>7532</v>
      </c>
      <c r="L1643" t="s">
        <v>7821</v>
      </c>
      <c r="P1643" t="s">
        <v>18</v>
      </c>
    </row>
    <row r="1644" spans="1:16" x14ac:dyDescent="0.35">
      <c r="A1644">
        <v>3433335</v>
      </c>
      <c r="B1644" t="s">
        <v>7822</v>
      </c>
      <c r="C1644" t="str">
        <f>"9781466687486"</f>
        <v>9781466687486</v>
      </c>
      <c r="D1644" t="str">
        <f>"9781466687493"</f>
        <v>9781466687493</v>
      </c>
      <c r="E1644" t="s">
        <v>138</v>
      </c>
      <c r="F1644" t="s">
        <v>138</v>
      </c>
      <c r="G1644" s="1">
        <v>42216</v>
      </c>
      <c r="H1644" s="1">
        <v>42230</v>
      </c>
      <c r="J1644" t="s">
        <v>7343</v>
      </c>
      <c r="K1644" t="s">
        <v>2181</v>
      </c>
      <c r="L1644" t="s">
        <v>28</v>
      </c>
      <c r="M1644" t="s">
        <v>7823</v>
      </c>
      <c r="N1644" t="s">
        <v>369</v>
      </c>
      <c r="O1644" t="s">
        <v>7824</v>
      </c>
      <c r="P1644" t="s">
        <v>18</v>
      </c>
    </row>
    <row r="1645" spans="1:16" x14ac:dyDescent="0.35">
      <c r="A1645">
        <v>2111102</v>
      </c>
      <c r="B1645" t="s">
        <v>7825</v>
      </c>
      <c r="C1645" t="str">
        <f>"9781782422853"</f>
        <v>9781782422853</v>
      </c>
      <c r="D1645" t="str">
        <f>"9781782422976"</f>
        <v>9781782422976</v>
      </c>
      <c r="E1645" t="s">
        <v>190</v>
      </c>
      <c r="F1645" t="s">
        <v>280</v>
      </c>
      <c r="G1645" s="1">
        <v>42212</v>
      </c>
      <c r="H1645" s="1">
        <v>42214</v>
      </c>
      <c r="J1645" t="s">
        <v>491</v>
      </c>
      <c r="K1645" t="s">
        <v>7826</v>
      </c>
      <c r="L1645" t="s">
        <v>544</v>
      </c>
      <c r="M1645" t="s">
        <v>7827</v>
      </c>
      <c r="N1645">
        <v>664.024</v>
      </c>
      <c r="O1645" t="s">
        <v>7828</v>
      </c>
      <c r="P1645" t="s">
        <v>18</v>
      </c>
    </row>
    <row r="1646" spans="1:16" x14ac:dyDescent="0.35">
      <c r="A1646">
        <v>2093030</v>
      </c>
      <c r="B1646" t="s">
        <v>7829</v>
      </c>
      <c r="C1646" t="str">
        <f>"9781780644233"</f>
        <v>9781780644233</v>
      </c>
      <c r="D1646" t="str">
        <f>"9781780644240"</f>
        <v>9781780644240</v>
      </c>
      <c r="E1646" t="s">
        <v>333</v>
      </c>
      <c r="F1646" t="s">
        <v>333</v>
      </c>
      <c r="G1646" s="1">
        <v>42200</v>
      </c>
      <c r="H1646" s="1">
        <v>42197</v>
      </c>
      <c r="K1646" t="s">
        <v>7830</v>
      </c>
      <c r="L1646" t="s">
        <v>168</v>
      </c>
      <c r="M1646" t="s">
        <v>7831</v>
      </c>
      <c r="N1646">
        <v>631.45000000000005</v>
      </c>
      <c r="O1646" t="s">
        <v>7832</v>
      </c>
      <c r="P1646" t="s">
        <v>18</v>
      </c>
    </row>
    <row r="1647" spans="1:16" x14ac:dyDescent="0.35">
      <c r="A1647">
        <v>3433317</v>
      </c>
      <c r="B1647" t="s">
        <v>7833</v>
      </c>
      <c r="C1647" t="str">
        <f>"9781466687202"</f>
        <v>9781466687202</v>
      </c>
      <c r="D1647" t="str">
        <f>"9781466687219"</f>
        <v>9781466687219</v>
      </c>
      <c r="E1647" t="s">
        <v>138</v>
      </c>
      <c r="F1647" t="s">
        <v>138</v>
      </c>
      <c r="G1647" s="1">
        <v>42185</v>
      </c>
      <c r="H1647" s="1">
        <v>42215</v>
      </c>
      <c r="J1647" t="s">
        <v>7834</v>
      </c>
      <c r="K1647" t="s">
        <v>7835</v>
      </c>
      <c r="L1647" t="s">
        <v>41</v>
      </c>
      <c r="M1647" t="s">
        <v>7836</v>
      </c>
      <c r="N1647" t="s">
        <v>128</v>
      </c>
      <c r="O1647" t="s">
        <v>7837</v>
      </c>
      <c r="P1647" t="s">
        <v>18</v>
      </c>
    </row>
    <row r="1648" spans="1:16" x14ac:dyDescent="0.35">
      <c r="A1648">
        <v>5221062</v>
      </c>
      <c r="B1648" t="s">
        <v>7838</v>
      </c>
      <c r="C1648" t="str">
        <f>"9781408846346"</f>
        <v>9781408846346</v>
      </c>
      <c r="D1648" t="str">
        <f>"9781408846421"</f>
        <v>9781408846421</v>
      </c>
      <c r="E1648" t="s">
        <v>354</v>
      </c>
      <c r="F1648" t="s">
        <v>354</v>
      </c>
      <c r="G1648" s="1">
        <v>42185</v>
      </c>
      <c r="H1648" s="1">
        <v>43118</v>
      </c>
      <c r="K1648" t="s">
        <v>7839</v>
      </c>
      <c r="L1648" t="s">
        <v>41</v>
      </c>
      <c r="M1648" t="s">
        <v>7840</v>
      </c>
      <c r="N1648">
        <v>338.47664900000001</v>
      </c>
      <c r="O1648" t="s">
        <v>7841</v>
      </c>
      <c r="P1648" t="s">
        <v>18</v>
      </c>
    </row>
    <row r="1649" spans="1:16" x14ac:dyDescent="0.35">
      <c r="A1649">
        <v>2068781</v>
      </c>
      <c r="B1649" t="s">
        <v>7842</v>
      </c>
      <c r="C1649" t="str">
        <f>"9780444595676"</f>
        <v>9780444595676</v>
      </c>
      <c r="D1649" t="str">
        <f>"9780444595799"</f>
        <v>9780444595799</v>
      </c>
      <c r="E1649" t="s">
        <v>1699</v>
      </c>
      <c r="F1649" t="s">
        <v>1699</v>
      </c>
      <c r="G1649" s="1">
        <v>42184</v>
      </c>
      <c r="H1649" s="1">
        <v>42169</v>
      </c>
      <c r="K1649" t="s">
        <v>7843</v>
      </c>
      <c r="L1649" t="s">
        <v>7844</v>
      </c>
      <c r="M1649" t="s">
        <v>7845</v>
      </c>
      <c r="N1649">
        <v>660.29949999999997</v>
      </c>
      <c r="O1649" t="s">
        <v>7846</v>
      </c>
      <c r="P1649" t="s">
        <v>18</v>
      </c>
    </row>
    <row r="1650" spans="1:16" x14ac:dyDescent="0.35">
      <c r="A1650">
        <v>2198213</v>
      </c>
      <c r="B1650" t="s">
        <v>7847</v>
      </c>
      <c r="C1650" t="str">
        <f>"9789004299542"</f>
        <v>9789004299542</v>
      </c>
      <c r="D1650" t="str">
        <f>"9789004299597"</f>
        <v>9789004299597</v>
      </c>
      <c r="E1650" t="s">
        <v>228</v>
      </c>
      <c r="F1650" t="s">
        <v>449</v>
      </c>
      <c r="G1650" s="1">
        <v>42174</v>
      </c>
      <c r="H1650" s="1">
        <v>42249</v>
      </c>
      <c r="I1650">
        <v>1</v>
      </c>
      <c r="J1650" t="s">
        <v>471</v>
      </c>
      <c r="K1650" t="s">
        <v>7848</v>
      </c>
      <c r="L1650" t="s">
        <v>22</v>
      </c>
      <c r="M1650" t="s">
        <v>7849</v>
      </c>
      <c r="N1650">
        <v>100</v>
      </c>
      <c r="O1650" t="s">
        <v>7850</v>
      </c>
      <c r="P1650" t="s">
        <v>18</v>
      </c>
    </row>
    <row r="1651" spans="1:16" x14ac:dyDescent="0.35">
      <c r="A1651">
        <v>2065584</v>
      </c>
      <c r="B1651" t="s">
        <v>7851</v>
      </c>
      <c r="C1651" t="str">
        <f>"9783038354406"</f>
        <v>9783038354406</v>
      </c>
      <c r="D1651" t="str">
        <f>"9783038268963"</f>
        <v>9783038268963</v>
      </c>
      <c r="E1651" t="s">
        <v>1649</v>
      </c>
      <c r="F1651" t="s">
        <v>1649</v>
      </c>
      <c r="G1651" s="1">
        <v>42173</v>
      </c>
      <c r="H1651" s="1">
        <v>42161</v>
      </c>
      <c r="I1651">
        <v>1</v>
      </c>
      <c r="J1651" t="s">
        <v>4195</v>
      </c>
      <c r="K1651" t="s">
        <v>7852</v>
      </c>
      <c r="L1651" t="s">
        <v>7668</v>
      </c>
      <c r="P1651" t="s">
        <v>18</v>
      </c>
    </row>
    <row r="1652" spans="1:16" x14ac:dyDescent="0.35">
      <c r="A1652">
        <v>4763126</v>
      </c>
      <c r="B1652" t="s">
        <v>7853</v>
      </c>
      <c r="C1652" t="str">
        <f>"9781137006356"</f>
        <v>9781137006356</v>
      </c>
      <c r="D1652" t="str">
        <f>"9781137006370"</f>
        <v>9781137006370</v>
      </c>
      <c r="E1652" t="s">
        <v>354</v>
      </c>
      <c r="F1652" t="s">
        <v>362</v>
      </c>
      <c r="G1652" s="1">
        <v>42167</v>
      </c>
      <c r="H1652" s="1">
        <v>42712</v>
      </c>
      <c r="J1652" t="s">
        <v>7854</v>
      </c>
      <c r="K1652" t="s">
        <v>7855</v>
      </c>
      <c r="L1652" t="s">
        <v>340</v>
      </c>
      <c r="M1652" t="s">
        <v>7856</v>
      </c>
      <c r="N1652" t="s">
        <v>238</v>
      </c>
      <c r="O1652" t="s">
        <v>7857</v>
      </c>
      <c r="P1652" t="s">
        <v>18</v>
      </c>
    </row>
    <row r="1653" spans="1:16" x14ac:dyDescent="0.35">
      <c r="A1653">
        <v>2065595</v>
      </c>
      <c r="B1653" t="s">
        <v>7858</v>
      </c>
      <c r="C1653" t="str">
        <f>"9783038354673"</f>
        <v>9783038354673</v>
      </c>
      <c r="D1653" t="str">
        <f>"9783038269298"</f>
        <v>9783038269298</v>
      </c>
      <c r="E1653" t="s">
        <v>1649</v>
      </c>
      <c r="F1653" t="s">
        <v>1649</v>
      </c>
      <c r="G1653" s="1">
        <v>42165</v>
      </c>
      <c r="H1653" s="1">
        <v>42161</v>
      </c>
      <c r="I1653">
        <v>1</v>
      </c>
      <c r="J1653" t="s">
        <v>7419</v>
      </c>
      <c r="K1653" t="s">
        <v>7859</v>
      </c>
      <c r="L1653" t="s">
        <v>476</v>
      </c>
      <c r="P1653" t="s">
        <v>18</v>
      </c>
    </row>
    <row r="1654" spans="1:16" x14ac:dyDescent="0.35">
      <c r="A1654">
        <v>5022135</v>
      </c>
      <c r="B1654" t="s">
        <v>7860</v>
      </c>
      <c r="C1654" t="str">
        <f>"9783736990135"</f>
        <v>9783736990135</v>
      </c>
      <c r="D1654" t="str">
        <f>"9783736980136"</f>
        <v>9783736980136</v>
      </c>
      <c r="E1654" t="s">
        <v>2357</v>
      </c>
      <c r="F1654" t="s">
        <v>2357</v>
      </c>
      <c r="G1654" s="1">
        <v>42163</v>
      </c>
      <c r="H1654" s="1">
        <v>42983</v>
      </c>
      <c r="I1654">
        <v>1</v>
      </c>
      <c r="K1654" t="s">
        <v>7861</v>
      </c>
      <c r="L1654" t="s">
        <v>26</v>
      </c>
      <c r="M1654" t="s">
        <v>7862</v>
      </c>
      <c r="N1654">
        <v>338.92700000000002</v>
      </c>
      <c r="O1654" t="s">
        <v>503</v>
      </c>
      <c r="P1654" t="s">
        <v>315</v>
      </c>
    </row>
    <row r="1655" spans="1:16" x14ac:dyDescent="0.35">
      <c r="A1655">
        <v>3433281</v>
      </c>
      <c r="B1655" t="s">
        <v>7863</v>
      </c>
      <c r="C1655" t="str">
        <f>"9781466684621"</f>
        <v>9781466684621</v>
      </c>
      <c r="D1655" t="str">
        <f>"9781466684638"</f>
        <v>9781466684638</v>
      </c>
      <c r="E1655" t="s">
        <v>138</v>
      </c>
      <c r="F1655" t="s">
        <v>138</v>
      </c>
      <c r="G1655" s="1">
        <v>42155</v>
      </c>
      <c r="H1655" s="1">
        <v>42185</v>
      </c>
      <c r="J1655" t="s">
        <v>7343</v>
      </c>
      <c r="K1655" t="s">
        <v>7864</v>
      </c>
      <c r="L1655" t="s">
        <v>28</v>
      </c>
      <c r="M1655" t="s">
        <v>7865</v>
      </c>
      <c r="N1655" t="s">
        <v>7866</v>
      </c>
      <c r="O1655" t="s">
        <v>7867</v>
      </c>
      <c r="P1655" t="s">
        <v>18</v>
      </c>
    </row>
    <row r="1656" spans="1:16" x14ac:dyDescent="0.35">
      <c r="A1656">
        <v>2053979</v>
      </c>
      <c r="B1656" t="s">
        <v>7868</v>
      </c>
      <c r="C1656" t="str">
        <f>"9780128022399"</f>
        <v>9780128022399</v>
      </c>
      <c r="D1656" t="str">
        <f>"9780128025604"</f>
        <v>9780128025604</v>
      </c>
      <c r="E1656" t="s">
        <v>190</v>
      </c>
      <c r="F1656" t="s">
        <v>191</v>
      </c>
      <c r="G1656" s="1">
        <v>42145</v>
      </c>
      <c r="H1656" s="1">
        <v>42143</v>
      </c>
      <c r="K1656" t="s">
        <v>7869</v>
      </c>
      <c r="L1656" t="s">
        <v>76</v>
      </c>
      <c r="M1656" t="s">
        <v>419</v>
      </c>
      <c r="N1656">
        <v>662.88</v>
      </c>
      <c r="O1656" t="s">
        <v>481</v>
      </c>
      <c r="P1656" t="s">
        <v>18</v>
      </c>
    </row>
    <row r="1657" spans="1:16" x14ac:dyDescent="0.35">
      <c r="A1657">
        <v>2008460</v>
      </c>
      <c r="B1657" t="s">
        <v>7870</v>
      </c>
      <c r="C1657" t="str">
        <f>"9783038354338"</f>
        <v>9783038354338</v>
      </c>
      <c r="D1657" t="str">
        <f>"9783038268192"</f>
        <v>9783038268192</v>
      </c>
      <c r="E1657" t="s">
        <v>1649</v>
      </c>
      <c r="F1657" t="s">
        <v>1649</v>
      </c>
      <c r="G1657" s="1">
        <v>42134</v>
      </c>
      <c r="H1657" s="1">
        <v>42104</v>
      </c>
      <c r="I1657">
        <v>1</v>
      </c>
      <c r="J1657" t="s">
        <v>4195</v>
      </c>
      <c r="K1657" t="s">
        <v>7871</v>
      </c>
      <c r="L1657" t="s">
        <v>7872</v>
      </c>
      <c r="P1657" t="s">
        <v>18</v>
      </c>
    </row>
    <row r="1658" spans="1:16" x14ac:dyDescent="0.35">
      <c r="A1658">
        <v>2008340</v>
      </c>
      <c r="B1658" t="s">
        <v>7873</v>
      </c>
      <c r="C1658" t="str">
        <f>"9783038354208"</f>
        <v>9783038354208</v>
      </c>
      <c r="D1658" t="str">
        <f>"9783038268062"</f>
        <v>9783038268062</v>
      </c>
      <c r="E1658" t="s">
        <v>1649</v>
      </c>
      <c r="F1658" t="s">
        <v>1649</v>
      </c>
      <c r="G1658" s="1">
        <v>42128</v>
      </c>
      <c r="H1658" s="1">
        <v>42103</v>
      </c>
      <c r="I1658">
        <v>1</v>
      </c>
      <c r="J1658" t="s">
        <v>4195</v>
      </c>
      <c r="K1658" t="s">
        <v>7874</v>
      </c>
      <c r="L1658" t="s">
        <v>5185</v>
      </c>
      <c r="P1658" t="s">
        <v>18</v>
      </c>
    </row>
    <row r="1659" spans="1:16" x14ac:dyDescent="0.35">
      <c r="A1659">
        <v>1997070</v>
      </c>
      <c r="B1659" t="s">
        <v>7875</v>
      </c>
      <c r="C1659" t="str">
        <f>"9781783471263"</f>
        <v>9781783471263</v>
      </c>
      <c r="D1659" t="str">
        <f>"9781783471270"</f>
        <v>9781783471270</v>
      </c>
      <c r="E1659" t="s">
        <v>2080</v>
      </c>
      <c r="F1659" t="s">
        <v>7033</v>
      </c>
      <c r="G1659" s="1">
        <v>42125</v>
      </c>
      <c r="H1659" s="1">
        <v>42088</v>
      </c>
      <c r="K1659" t="s">
        <v>7876</v>
      </c>
      <c r="L1659" t="s">
        <v>26</v>
      </c>
      <c r="M1659" t="s">
        <v>7877</v>
      </c>
      <c r="N1659">
        <v>339.47</v>
      </c>
      <c r="O1659" t="s">
        <v>7878</v>
      </c>
      <c r="P1659" t="s">
        <v>18</v>
      </c>
    </row>
    <row r="1660" spans="1:16" x14ac:dyDescent="0.35">
      <c r="A1660">
        <v>2038913</v>
      </c>
      <c r="B1660" t="s">
        <v>7879</v>
      </c>
      <c r="C1660" t="str">
        <f>"9780444634726"</f>
        <v>9780444634726</v>
      </c>
      <c r="D1660" t="str">
        <f>"9780444634917"</f>
        <v>9780444634917</v>
      </c>
      <c r="E1660" t="s">
        <v>1699</v>
      </c>
      <c r="F1660" t="s">
        <v>1699</v>
      </c>
      <c r="G1660" s="1">
        <v>42125</v>
      </c>
      <c r="H1660" s="1">
        <v>42125</v>
      </c>
      <c r="J1660" t="s">
        <v>291</v>
      </c>
      <c r="K1660" t="s">
        <v>7880</v>
      </c>
      <c r="L1660" t="s">
        <v>3976</v>
      </c>
      <c r="M1660" t="s">
        <v>7881</v>
      </c>
      <c r="N1660">
        <v>628</v>
      </c>
      <c r="O1660" t="s">
        <v>7882</v>
      </c>
      <c r="P1660" t="s">
        <v>18</v>
      </c>
    </row>
    <row r="1661" spans="1:16" x14ac:dyDescent="0.35">
      <c r="A1661">
        <v>3433256</v>
      </c>
      <c r="B1661" t="s">
        <v>7883</v>
      </c>
      <c r="C1661" t="str">
        <f>"9781466682825"</f>
        <v>9781466682825</v>
      </c>
      <c r="D1661" t="str">
        <f>"9781466682832"</f>
        <v>9781466682832</v>
      </c>
      <c r="E1661" t="s">
        <v>138</v>
      </c>
      <c r="F1661" t="s">
        <v>138</v>
      </c>
      <c r="G1661" s="1">
        <v>42124</v>
      </c>
      <c r="H1661" s="1">
        <v>42177</v>
      </c>
      <c r="J1661" t="s">
        <v>7377</v>
      </c>
      <c r="K1661" t="s">
        <v>7884</v>
      </c>
      <c r="L1661" t="s">
        <v>38</v>
      </c>
      <c r="M1661" t="s">
        <v>7885</v>
      </c>
      <c r="N1661" t="s">
        <v>238</v>
      </c>
      <c r="O1661" t="s">
        <v>7886</v>
      </c>
      <c r="P1661" t="s">
        <v>18</v>
      </c>
    </row>
    <row r="1662" spans="1:16" x14ac:dyDescent="0.35">
      <c r="A1662">
        <v>3433257</v>
      </c>
      <c r="B1662" t="s">
        <v>7887</v>
      </c>
      <c r="C1662" t="str">
        <f>"9781466684331"</f>
        <v>9781466684331</v>
      </c>
      <c r="D1662" t="str">
        <f>"9781466684348"</f>
        <v>9781466684348</v>
      </c>
      <c r="E1662" t="s">
        <v>138</v>
      </c>
      <c r="F1662" t="s">
        <v>138</v>
      </c>
      <c r="G1662" s="1">
        <v>42124</v>
      </c>
      <c r="H1662" s="1">
        <v>42177</v>
      </c>
      <c r="J1662" t="s">
        <v>7834</v>
      </c>
      <c r="K1662" t="s">
        <v>7888</v>
      </c>
      <c r="L1662" t="s">
        <v>26</v>
      </c>
      <c r="M1662" t="s">
        <v>7889</v>
      </c>
      <c r="N1662" t="s">
        <v>128</v>
      </c>
      <c r="O1662" t="s">
        <v>2677</v>
      </c>
      <c r="P1662" t="s">
        <v>18</v>
      </c>
    </row>
    <row r="1663" spans="1:16" x14ac:dyDescent="0.35">
      <c r="A1663">
        <v>3379431</v>
      </c>
      <c r="B1663" t="s">
        <v>7890</v>
      </c>
      <c r="C1663" t="str">
        <f>"9780309368087"</f>
        <v>9780309368087</v>
      </c>
      <c r="D1663" t="str">
        <f>"9780309368094"</f>
        <v>9780309368094</v>
      </c>
      <c r="E1663" t="s">
        <v>531</v>
      </c>
      <c r="F1663" t="s">
        <v>531</v>
      </c>
      <c r="G1663" s="1">
        <v>42120</v>
      </c>
      <c r="H1663" s="1">
        <v>42075</v>
      </c>
      <c r="I1663">
        <v>1</v>
      </c>
      <c r="K1663" t="s">
        <v>7891</v>
      </c>
      <c r="L1663" t="s">
        <v>105</v>
      </c>
      <c r="P1663" t="s">
        <v>18</v>
      </c>
    </row>
    <row r="1664" spans="1:16" x14ac:dyDescent="0.35">
      <c r="A1664">
        <v>1980775</v>
      </c>
      <c r="B1664" t="s">
        <v>7892</v>
      </c>
      <c r="C1664" t="str">
        <f>"9783038354017"</f>
        <v>9783038354017</v>
      </c>
      <c r="D1664" t="str">
        <f>"9783038267874"</f>
        <v>9783038267874</v>
      </c>
      <c r="E1664" t="s">
        <v>1649</v>
      </c>
      <c r="F1664" t="s">
        <v>1649</v>
      </c>
      <c r="G1664" s="1">
        <v>42110</v>
      </c>
      <c r="H1664" s="1">
        <v>42071</v>
      </c>
      <c r="I1664">
        <v>1</v>
      </c>
      <c r="J1664" t="s">
        <v>4195</v>
      </c>
      <c r="K1664" t="s">
        <v>7893</v>
      </c>
      <c r="L1664" t="s">
        <v>7894</v>
      </c>
      <c r="P1664" t="s">
        <v>18</v>
      </c>
    </row>
    <row r="1665" spans="1:16" x14ac:dyDescent="0.35">
      <c r="A1665">
        <v>1996436</v>
      </c>
      <c r="B1665" t="s">
        <v>7895</v>
      </c>
      <c r="C1665" t="str">
        <f>"9781440832512"</f>
        <v>9781440832512</v>
      </c>
      <c r="D1665" t="str">
        <f>"9781440832529"</f>
        <v>9781440832529</v>
      </c>
      <c r="E1665" t="s">
        <v>440</v>
      </c>
      <c r="F1665" t="s">
        <v>441</v>
      </c>
      <c r="G1665" s="1">
        <v>42108</v>
      </c>
      <c r="H1665" s="1">
        <v>42086</v>
      </c>
      <c r="K1665" t="s">
        <v>4799</v>
      </c>
      <c r="L1665" t="s">
        <v>483</v>
      </c>
      <c r="M1665" t="s">
        <v>7896</v>
      </c>
      <c r="N1665" t="s">
        <v>130</v>
      </c>
      <c r="O1665" t="s">
        <v>7897</v>
      </c>
      <c r="P1665" t="s">
        <v>18</v>
      </c>
    </row>
    <row r="1666" spans="1:16" x14ac:dyDescent="0.35">
      <c r="A1666">
        <v>1980780</v>
      </c>
      <c r="B1666" t="s">
        <v>7898</v>
      </c>
      <c r="C1666" t="str">
        <f>"9783038354161"</f>
        <v>9783038354161</v>
      </c>
      <c r="D1666" t="str">
        <f>"9783038268024"</f>
        <v>9783038268024</v>
      </c>
      <c r="E1666" t="s">
        <v>1649</v>
      </c>
      <c r="F1666" t="s">
        <v>1649</v>
      </c>
      <c r="G1666" s="1">
        <v>42103</v>
      </c>
      <c r="H1666" s="1">
        <v>42071</v>
      </c>
      <c r="I1666">
        <v>1</v>
      </c>
      <c r="J1666" t="s">
        <v>4195</v>
      </c>
      <c r="K1666" t="s">
        <v>7899</v>
      </c>
      <c r="L1666" t="s">
        <v>7668</v>
      </c>
      <c r="P1666" t="s">
        <v>18</v>
      </c>
    </row>
    <row r="1667" spans="1:16" x14ac:dyDescent="0.35">
      <c r="A1667">
        <v>1977768</v>
      </c>
      <c r="B1667" t="s">
        <v>7900</v>
      </c>
      <c r="C1667" t="str">
        <f>"9781782545828"</f>
        <v>9781782545828</v>
      </c>
      <c r="D1667" t="str">
        <f>"9781782545835"</f>
        <v>9781782545835</v>
      </c>
      <c r="E1667" t="s">
        <v>2080</v>
      </c>
      <c r="F1667" t="s">
        <v>7033</v>
      </c>
      <c r="G1667" s="1">
        <v>42095</v>
      </c>
      <c r="H1667" s="1">
        <v>42067</v>
      </c>
      <c r="K1667" t="s">
        <v>7901</v>
      </c>
      <c r="L1667" t="s">
        <v>28</v>
      </c>
      <c r="M1667" t="s">
        <v>7902</v>
      </c>
      <c r="N1667">
        <v>658.40800000000002</v>
      </c>
      <c r="O1667" t="s">
        <v>7903</v>
      </c>
      <c r="P1667" t="s">
        <v>18</v>
      </c>
    </row>
    <row r="1668" spans="1:16" x14ac:dyDescent="0.35">
      <c r="A1668">
        <v>3433211</v>
      </c>
      <c r="B1668" t="s">
        <v>7904</v>
      </c>
      <c r="C1668" t="str">
        <f>"9781466682221"</f>
        <v>9781466682221</v>
      </c>
      <c r="D1668" t="str">
        <f>"9781466682238"</f>
        <v>9781466682238</v>
      </c>
      <c r="E1668" t="s">
        <v>138</v>
      </c>
      <c r="F1668" t="s">
        <v>1764</v>
      </c>
      <c r="G1668" s="1">
        <v>42094</v>
      </c>
      <c r="H1668" s="1">
        <v>42139</v>
      </c>
      <c r="K1668" t="s">
        <v>7905</v>
      </c>
      <c r="L1668" t="s">
        <v>180</v>
      </c>
      <c r="M1668" t="s">
        <v>7906</v>
      </c>
      <c r="N1668">
        <v>333.79028599999998</v>
      </c>
      <c r="O1668" t="s">
        <v>7907</v>
      </c>
      <c r="P1668" t="s">
        <v>18</v>
      </c>
    </row>
    <row r="1669" spans="1:16" x14ac:dyDescent="0.35">
      <c r="A1669">
        <v>3433226</v>
      </c>
      <c r="B1669" t="s">
        <v>7908</v>
      </c>
      <c r="C1669" t="str">
        <f>"9781466682191"</f>
        <v>9781466682191</v>
      </c>
      <c r="D1669" t="str">
        <f>"9781466682207"</f>
        <v>9781466682207</v>
      </c>
      <c r="E1669" t="s">
        <v>138</v>
      </c>
      <c r="F1669" t="s">
        <v>138</v>
      </c>
      <c r="G1669" s="1">
        <v>42094</v>
      </c>
      <c r="H1669" s="1">
        <v>42172</v>
      </c>
      <c r="J1669" t="s">
        <v>7834</v>
      </c>
      <c r="K1669" t="s">
        <v>7909</v>
      </c>
      <c r="L1669" t="s">
        <v>26</v>
      </c>
      <c r="M1669" t="s">
        <v>7910</v>
      </c>
      <c r="N1669" t="s">
        <v>128</v>
      </c>
      <c r="O1669" t="s">
        <v>7911</v>
      </c>
      <c r="P1669" t="s">
        <v>18</v>
      </c>
    </row>
    <row r="1670" spans="1:16" x14ac:dyDescent="0.35">
      <c r="A1670">
        <v>1963714</v>
      </c>
      <c r="B1670" t="s">
        <v>7912</v>
      </c>
      <c r="C1670" t="str">
        <f>"9781440832598"</f>
        <v>9781440832598</v>
      </c>
      <c r="D1670" t="str">
        <f>"9781440832604"</f>
        <v>9781440832604</v>
      </c>
      <c r="E1670" t="s">
        <v>440</v>
      </c>
      <c r="F1670" t="s">
        <v>441</v>
      </c>
      <c r="G1670" s="1">
        <v>42087</v>
      </c>
      <c r="H1670" s="1">
        <v>42075</v>
      </c>
      <c r="K1670" t="s">
        <v>7913</v>
      </c>
      <c r="L1670" t="s">
        <v>6420</v>
      </c>
      <c r="M1670" t="s">
        <v>7914</v>
      </c>
      <c r="N1670">
        <v>333.82299999999998</v>
      </c>
      <c r="O1670" t="s">
        <v>7915</v>
      </c>
      <c r="P1670" t="s">
        <v>18</v>
      </c>
    </row>
    <row r="1671" spans="1:16" x14ac:dyDescent="0.35">
      <c r="A1671">
        <v>4733087</v>
      </c>
      <c r="B1671" t="s">
        <v>7916</v>
      </c>
      <c r="C1671" t="str">
        <f>"9781452240312"</f>
        <v>9781452240312</v>
      </c>
      <c r="D1671" t="str">
        <f>"9781483322421"</f>
        <v>9781483322421</v>
      </c>
      <c r="E1671" t="s">
        <v>413</v>
      </c>
      <c r="F1671" t="s">
        <v>413</v>
      </c>
      <c r="G1671" s="1">
        <v>42081</v>
      </c>
      <c r="H1671" s="1">
        <v>42679</v>
      </c>
      <c r="I1671">
        <v>1</v>
      </c>
      <c r="K1671" t="s">
        <v>7917</v>
      </c>
      <c r="L1671" t="s">
        <v>38</v>
      </c>
      <c r="M1671" t="s">
        <v>7918</v>
      </c>
      <c r="N1671" t="s">
        <v>7919</v>
      </c>
      <c r="O1671" t="s">
        <v>7920</v>
      </c>
      <c r="P1671" t="s">
        <v>18</v>
      </c>
    </row>
    <row r="1672" spans="1:16" x14ac:dyDescent="0.35">
      <c r="A1672">
        <v>1953201</v>
      </c>
      <c r="B1672" t="s">
        <v>7921</v>
      </c>
      <c r="C1672" t="str">
        <f>"9783038354031"</f>
        <v>9783038354031</v>
      </c>
      <c r="D1672" t="str">
        <f>"9783038267898"</f>
        <v>9783038267898</v>
      </c>
      <c r="E1672" t="s">
        <v>1649</v>
      </c>
      <c r="F1672" t="s">
        <v>1649</v>
      </c>
      <c r="G1672" s="1">
        <v>42074</v>
      </c>
      <c r="H1672" s="1">
        <v>42053</v>
      </c>
      <c r="I1672">
        <v>1</v>
      </c>
      <c r="J1672" t="s">
        <v>4195</v>
      </c>
      <c r="K1672" t="s">
        <v>7922</v>
      </c>
      <c r="L1672" t="s">
        <v>7923</v>
      </c>
      <c r="P1672" t="s">
        <v>18</v>
      </c>
    </row>
    <row r="1673" spans="1:16" x14ac:dyDescent="0.35">
      <c r="A1673">
        <v>3313951</v>
      </c>
      <c r="B1673" t="s">
        <v>7924</v>
      </c>
      <c r="C1673" t="str">
        <f>"9781466681675"</f>
        <v>9781466681675</v>
      </c>
      <c r="D1673" t="str">
        <f>"9781466681682"</f>
        <v>9781466681682</v>
      </c>
      <c r="E1673" t="s">
        <v>138</v>
      </c>
      <c r="F1673" t="s">
        <v>138</v>
      </c>
      <c r="G1673" s="1">
        <v>42063</v>
      </c>
      <c r="H1673" s="1">
        <v>42076</v>
      </c>
      <c r="J1673" t="s">
        <v>7925</v>
      </c>
      <c r="K1673" t="s">
        <v>7926</v>
      </c>
      <c r="L1673" t="s">
        <v>28</v>
      </c>
      <c r="M1673" t="s">
        <v>7927</v>
      </c>
      <c r="N1673" t="s">
        <v>217</v>
      </c>
      <c r="O1673" t="s">
        <v>7928</v>
      </c>
      <c r="P1673" t="s">
        <v>18</v>
      </c>
    </row>
    <row r="1674" spans="1:16" x14ac:dyDescent="0.35">
      <c r="A1674">
        <v>1952813</v>
      </c>
      <c r="B1674" t="s">
        <v>7929</v>
      </c>
      <c r="C1674" t="str">
        <f>"9783631658925"</f>
        <v>9783631658925</v>
      </c>
      <c r="D1674" t="str">
        <f>"9783653052510"</f>
        <v>9783653052510</v>
      </c>
      <c r="E1674" t="s">
        <v>2432</v>
      </c>
      <c r="F1674" t="s">
        <v>2432</v>
      </c>
      <c r="G1674" s="1">
        <v>42060</v>
      </c>
      <c r="H1674" s="1">
        <v>42046</v>
      </c>
      <c r="I1674">
        <v>1</v>
      </c>
      <c r="K1674" t="s">
        <v>7930</v>
      </c>
      <c r="L1674" t="s">
        <v>26</v>
      </c>
      <c r="M1674" t="s">
        <v>7931</v>
      </c>
      <c r="N1674">
        <v>338.92700000000002</v>
      </c>
      <c r="O1674" t="s">
        <v>7932</v>
      </c>
      <c r="P1674" t="s">
        <v>315</v>
      </c>
    </row>
    <row r="1675" spans="1:16" x14ac:dyDescent="0.35">
      <c r="A1675">
        <v>1931710</v>
      </c>
      <c r="B1675" t="s">
        <v>7933</v>
      </c>
      <c r="C1675" t="str">
        <f>"9780749472092"</f>
        <v>9780749472092</v>
      </c>
      <c r="D1675" t="str">
        <f>"9780749472108"</f>
        <v>9780749472108</v>
      </c>
      <c r="E1675" t="s">
        <v>215</v>
      </c>
      <c r="F1675" t="s">
        <v>215</v>
      </c>
      <c r="G1675" s="1">
        <v>42059</v>
      </c>
      <c r="H1675" s="1">
        <v>42034</v>
      </c>
      <c r="I1675">
        <v>1</v>
      </c>
      <c r="K1675" t="s">
        <v>7934</v>
      </c>
      <c r="L1675" t="s">
        <v>28</v>
      </c>
      <c r="M1675" t="s">
        <v>7935</v>
      </c>
      <c r="N1675" t="s">
        <v>297</v>
      </c>
      <c r="O1675" t="s">
        <v>7936</v>
      </c>
      <c r="P1675" t="s">
        <v>18</v>
      </c>
    </row>
    <row r="1676" spans="1:16" x14ac:dyDescent="0.35">
      <c r="A1676">
        <v>1931712</v>
      </c>
      <c r="B1676" t="s">
        <v>7937</v>
      </c>
      <c r="C1676" t="str">
        <f>"9780749471859"</f>
        <v>9780749471859</v>
      </c>
      <c r="D1676" t="str">
        <f>"9780749471866"</f>
        <v>9780749471866</v>
      </c>
      <c r="E1676" t="s">
        <v>215</v>
      </c>
      <c r="F1676" t="s">
        <v>215</v>
      </c>
      <c r="G1676" s="1">
        <v>42059</v>
      </c>
      <c r="H1676" s="1">
        <v>42034</v>
      </c>
      <c r="I1676">
        <v>3</v>
      </c>
      <c r="K1676" t="s">
        <v>7938</v>
      </c>
      <c r="L1676" t="s">
        <v>28</v>
      </c>
      <c r="M1676" t="s">
        <v>7939</v>
      </c>
      <c r="N1676">
        <v>658.70285999999999</v>
      </c>
      <c r="O1676" t="s">
        <v>7940</v>
      </c>
      <c r="P1676" t="s">
        <v>18</v>
      </c>
    </row>
    <row r="1677" spans="1:16" x14ac:dyDescent="0.35">
      <c r="A1677">
        <v>1938906</v>
      </c>
      <c r="B1677" t="s">
        <v>7941</v>
      </c>
      <c r="C1677" t="str">
        <f>"9780128016060"</f>
        <v>9780128016060</v>
      </c>
      <c r="D1677" t="str">
        <f>"9780128017623"</f>
        <v>9780128017623</v>
      </c>
      <c r="E1677" t="s">
        <v>1699</v>
      </c>
      <c r="F1677" t="s">
        <v>1699</v>
      </c>
      <c r="G1677" s="1">
        <v>42041</v>
      </c>
      <c r="H1677" s="1">
        <v>42042</v>
      </c>
      <c r="K1677" t="s">
        <v>6706</v>
      </c>
      <c r="L1677" t="s">
        <v>7942</v>
      </c>
      <c r="M1677" t="s">
        <v>7943</v>
      </c>
      <c r="N1677">
        <v>333.82330000000002</v>
      </c>
      <c r="O1677" t="s">
        <v>7944</v>
      </c>
      <c r="P1677" t="s">
        <v>18</v>
      </c>
    </row>
    <row r="1678" spans="1:16" x14ac:dyDescent="0.35">
      <c r="A1678">
        <v>1903661</v>
      </c>
      <c r="B1678" t="s">
        <v>7945</v>
      </c>
      <c r="C1678" t="str">
        <f>"9781780643564"</f>
        <v>9781780643564</v>
      </c>
      <c r="D1678" t="str">
        <f>"9781780643571"</f>
        <v>9781780643571</v>
      </c>
      <c r="E1678" t="s">
        <v>333</v>
      </c>
      <c r="F1678" t="s">
        <v>333</v>
      </c>
      <c r="G1678" s="1">
        <v>42040</v>
      </c>
      <c r="H1678" s="1">
        <v>41995</v>
      </c>
      <c r="K1678" t="s">
        <v>7946</v>
      </c>
      <c r="L1678" t="s">
        <v>271</v>
      </c>
      <c r="M1678" t="s">
        <v>7947</v>
      </c>
      <c r="N1678">
        <v>910.68</v>
      </c>
      <c r="O1678" t="s">
        <v>7948</v>
      </c>
      <c r="P1678" t="s">
        <v>18</v>
      </c>
    </row>
    <row r="1679" spans="1:16" x14ac:dyDescent="0.35">
      <c r="A1679">
        <v>1952769</v>
      </c>
      <c r="B1679" t="s">
        <v>7949</v>
      </c>
      <c r="C1679" t="str">
        <f>"9783631626931"</f>
        <v>9783631626931</v>
      </c>
      <c r="D1679" t="str">
        <f>"9783653024609"</f>
        <v>9783653024609</v>
      </c>
      <c r="E1679" t="s">
        <v>2432</v>
      </c>
      <c r="F1679" t="s">
        <v>2432</v>
      </c>
      <c r="G1679" s="1">
        <v>42037</v>
      </c>
      <c r="H1679" s="1">
        <v>42046</v>
      </c>
      <c r="I1679">
        <v>1</v>
      </c>
      <c r="J1679" t="s">
        <v>7950</v>
      </c>
      <c r="K1679" t="s">
        <v>7951</v>
      </c>
      <c r="L1679" t="s">
        <v>199</v>
      </c>
      <c r="M1679" t="s">
        <v>7952</v>
      </c>
      <c r="N1679">
        <v>333.70710000000003</v>
      </c>
      <c r="O1679" t="s">
        <v>7953</v>
      </c>
      <c r="P1679" t="s">
        <v>18</v>
      </c>
    </row>
    <row r="1680" spans="1:16" x14ac:dyDescent="0.35">
      <c r="A1680">
        <v>1912658</v>
      </c>
      <c r="B1680" t="s">
        <v>7954</v>
      </c>
      <c r="C1680" t="str">
        <f>"9783038353607"</f>
        <v>9783038353607</v>
      </c>
      <c r="D1680" t="str">
        <f>"9783038267454"</f>
        <v>9783038267454</v>
      </c>
      <c r="E1680" t="s">
        <v>1649</v>
      </c>
      <c r="F1680" t="s">
        <v>1649</v>
      </c>
      <c r="G1680" s="1">
        <v>42031</v>
      </c>
      <c r="H1680" s="1">
        <v>42010</v>
      </c>
      <c r="I1680">
        <v>1</v>
      </c>
      <c r="J1680" t="s">
        <v>7419</v>
      </c>
      <c r="K1680" t="s">
        <v>7955</v>
      </c>
      <c r="L1680" t="s">
        <v>105</v>
      </c>
      <c r="M1680" t="s">
        <v>7956</v>
      </c>
      <c r="P1680" t="s">
        <v>18</v>
      </c>
    </row>
    <row r="1681" spans="1:16" x14ac:dyDescent="0.35">
      <c r="A1681">
        <v>1912654</v>
      </c>
      <c r="B1681" t="s">
        <v>7957</v>
      </c>
      <c r="C1681" t="str">
        <f>"9783038353553"</f>
        <v>9783038353553</v>
      </c>
      <c r="D1681" t="str">
        <f>"9783038267409"</f>
        <v>9783038267409</v>
      </c>
      <c r="E1681" t="s">
        <v>1649</v>
      </c>
      <c r="F1681" t="s">
        <v>1649</v>
      </c>
      <c r="G1681" s="1">
        <v>42030</v>
      </c>
      <c r="H1681" s="1">
        <v>42010</v>
      </c>
      <c r="I1681">
        <v>1</v>
      </c>
      <c r="J1681" t="s">
        <v>4195</v>
      </c>
      <c r="K1681" t="s">
        <v>7958</v>
      </c>
      <c r="L1681" t="s">
        <v>141</v>
      </c>
      <c r="M1681" t="s">
        <v>7959</v>
      </c>
      <c r="P1681" t="s">
        <v>18</v>
      </c>
    </row>
    <row r="1682" spans="1:16" x14ac:dyDescent="0.35">
      <c r="A1682">
        <v>1935867</v>
      </c>
      <c r="B1682" t="s">
        <v>7960</v>
      </c>
      <c r="C1682" t="str">
        <f>"9780127999685"</f>
        <v>9780127999685</v>
      </c>
      <c r="D1682" t="str">
        <f>"9780128022337"</f>
        <v>9780128022337</v>
      </c>
      <c r="E1682" t="s">
        <v>190</v>
      </c>
      <c r="F1682" t="s">
        <v>282</v>
      </c>
      <c r="G1682" s="1">
        <v>42026</v>
      </c>
      <c r="H1682" s="1">
        <v>42036</v>
      </c>
      <c r="K1682" t="s">
        <v>7961</v>
      </c>
      <c r="L1682" t="s">
        <v>7269</v>
      </c>
      <c r="M1682" t="s">
        <v>7962</v>
      </c>
      <c r="N1682">
        <v>333.714</v>
      </c>
      <c r="O1682" t="s">
        <v>7963</v>
      </c>
      <c r="P1682" t="s">
        <v>18</v>
      </c>
    </row>
    <row r="1683" spans="1:16" x14ac:dyDescent="0.35">
      <c r="A1683">
        <v>1912656</v>
      </c>
      <c r="B1683" t="s">
        <v>7964</v>
      </c>
      <c r="C1683" t="str">
        <f>"9783038353584"</f>
        <v>9783038353584</v>
      </c>
      <c r="D1683" t="str">
        <f>"9783038267430"</f>
        <v>9783038267430</v>
      </c>
      <c r="E1683" t="s">
        <v>1649</v>
      </c>
      <c r="F1683" t="s">
        <v>1649</v>
      </c>
      <c r="G1683" s="1">
        <v>42017</v>
      </c>
      <c r="H1683" s="1">
        <v>42010</v>
      </c>
      <c r="I1683">
        <v>1</v>
      </c>
      <c r="J1683" t="s">
        <v>7419</v>
      </c>
      <c r="K1683" t="s">
        <v>7965</v>
      </c>
      <c r="L1683" t="s">
        <v>81</v>
      </c>
      <c r="M1683" t="s">
        <v>7966</v>
      </c>
      <c r="P1683" t="s">
        <v>18</v>
      </c>
    </row>
    <row r="1684" spans="1:16" x14ac:dyDescent="0.35">
      <c r="A1684">
        <v>5021885</v>
      </c>
      <c r="B1684" t="s">
        <v>7967</v>
      </c>
      <c r="C1684" t="str">
        <f>"9783954049127"</f>
        <v>9783954049127</v>
      </c>
      <c r="D1684" t="str">
        <f>"9783736949126"</f>
        <v>9783736949126</v>
      </c>
      <c r="E1684" t="s">
        <v>2357</v>
      </c>
      <c r="F1684" t="s">
        <v>2357</v>
      </c>
      <c r="G1684" s="1">
        <v>42017</v>
      </c>
      <c r="H1684" s="1">
        <v>42983</v>
      </c>
      <c r="I1684">
        <v>1</v>
      </c>
      <c r="K1684" t="s">
        <v>7968</v>
      </c>
      <c r="L1684" t="s">
        <v>76</v>
      </c>
      <c r="M1684" t="s">
        <v>7969</v>
      </c>
      <c r="N1684">
        <v>665.53840000000002</v>
      </c>
      <c r="O1684" t="s">
        <v>7970</v>
      </c>
      <c r="P1684" t="s">
        <v>18</v>
      </c>
    </row>
    <row r="1685" spans="1:16" x14ac:dyDescent="0.35">
      <c r="A1685">
        <v>1910973</v>
      </c>
      <c r="B1685" t="s">
        <v>7971</v>
      </c>
      <c r="C1685" t="str">
        <f>"9783038352761"</f>
        <v>9783038352761</v>
      </c>
      <c r="D1685" t="str">
        <f>"9783038266600"</f>
        <v>9783038266600</v>
      </c>
      <c r="E1685" t="s">
        <v>1649</v>
      </c>
      <c r="F1685" t="s">
        <v>1649</v>
      </c>
      <c r="G1685" s="1">
        <v>42010</v>
      </c>
      <c r="H1685" s="1">
        <v>42002</v>
      </c>
      <c r="I1685">
        <v>1</v>
      </c>
      <c r="J1685" t="s">
        <v>1671</v>
      </c>
      <c r="K1685" t="s">
        <v>7972</v>
      </c>
      <c r="L1685" t="s">
        <v>7259</v>
      </c>
      <c r="P1685" t="s">
        <v>18</v>
      </c>
    </row>
    <row r="1686" spans="1:16" x14ac:dyDescent="0.35">
      <c r="A1686">
        <v>1876074</v>
      </c>
      <c r="B1686" t="s">
        <v>7973</v>
      </c>
      <c r="C1686" t="str">
        <f>"9781782549239"</f>
        <v>9781782549239</v>
      </c>
      <c r="D1686" t="str">
        <f>"9781782549246"</f>
        <v>9781782549246</v>
      </c>
      <c r="E1686" t="s">
        <v>2080</v>
      </c>
      <c r="F1686" t="s">
        <v>7033</v>
      </c>
      <c r="G1686" s="1">
        <v>42005</v>
      </c>
      <c r="H1686" s="1">
        <v>41972</v>
      </c>
      <c r="K1686" t="s">
        <v>7974</v>
      </c>
      <c r="L1686" t="s">
        <v>368</v>
      </c>
      <c r="M1686" t="s">
        <v>7975</v>
      </c>
      <c r="N1686">
        <v>333.70679999999999</v>
      </c>
      <c r="O1686" t="s">
        <v>7976</v>
      </c>
      <c r="P1686" t="s">
        <v>18</v>
      </c>
    </row>
    <row r="1687" spans="1:16" x14ac:dyDescent="0.35">
      <c r="A1687">
        <v>1876082</v>
      </c>
      <c r="B1687" t="s">
        <v>7977</v>
      </c>
      <c r="C1687" t="str">
        <f>"9781783479955"</f>
        <v>9781783479955</v>
      </c>
      <c r="D1687" t="str">
        <f>"9781783479979"</f>
        <v>9781783479979</v>
      </c>
      <c r="E1687" t="s">
        <v>2080</v>
      </c>
      <c r="F1687" t="s">
        <v>7033</v>
      </c>
      <c r="G1687" s="1">
        <v>42005</v>
      </c>
      <c r="H1687" s="1">
        <v>41972</v>
      </c>
      <c r="J1687" t="s">
        <v>7978</v>
      </c>
      <c r="K1687" t="s">
        <v>7979</v>
      </c>
      <c r="L1687" t="s">
        <v>368</v>
      </c>
      <c r="M1687" t="s">
        <v>7980</v>
      </c>
      <c r="N1687">
        <v>333.7</v>
      </c>
      <c r="O1687" t="s">
        <v>7151</v>
      </c>
      <c r="P1687" t="s">
        <v>18</v>
      </c>
    </row>
    <row r="1688" spans="1:16" x14ac:dyDescent="0.35">
      <c r="A1688">
        <v>4089325</v>
      </c>
      <c r="B1688" t="s">
        <v>7981</v>
      </c>
      <c r="C1688" t="str">
        <f>"9789463002134"</f>
        <v>9789463002134</v>
      </c>
      <c r="D1688" t="str">
        <f>"9789463002141"</f>
        <v>9789463002141</v>
      </c>
      <c r="E1688" t="s">
        <v>228</v>
      </c>
      <c r="F1688" t="s">
        <v>549</v>
      </c>
      <c r="G1688" s="1">
        <v>42005</v>
      </c>
      <c r="H1688" s="1">
        <v>42360</v>
      </c>
      <c r="I1688">
        <v>1</v>
      </c>
      <c r="K1688" t="s">
        <v>7982</v>
      </c>
      <c r="L1688" t="s">
        <v>30</v>
      </c>
      <c r="M1688" t="s">
        <v>6974</v>
      </c>
      <c r="N1688">
        <v>370</v>
      </c>
      <c r="P1688" t="s">
        <v>18</v>
      </c>
    </row>
    <row r="1689" spans="1:16" x14ac:dyDescent="0.35">
      <c r="A1689">
        <v>1903657</v>
      </c>
      <c r="B1689" t="s">
        <v>7983</v>
      </c>
      <c r="C1689" t="str">
        <f>"9781780642192"</f>
        <v>9781780642192</v>
      </c>
      <c r="D1689" t="str">
        <f>"9781780642208"</f>
        <v>9781780642208</v>
      </c>
      <c r="E1689" t="s">
        <v>333</v>
      </c>
      <c r="F1689" t="s">
        <v>333</v>
      </c>
      <c r="G1689" s="1">
        <v>42002</v>
      </c>
      <c r="H1689" s="1">
        <v>41995</v>
      </c>
      <c r="K1689" t="s">
        <v>7984</v>
      </c>
      <c r="L1689" t="s">
        <v>229</v>
      </c>
      <c r="M1689" t="s">
        <v>7985</v>
      </c>
      <c r="N1689">
        <v>338.10939999999999</v>
      </c>
      <c r="O1689" t="s">
        <v>7986</v>
      </c>
      <c r="P1689" t="s">
        <v>18</v>
      </c>
    </row>
    <row r="1690" spans="1:16" x14ac:dyDescent="0.35">
      <c r="A1690">
        <v>1911026</v>
      </c>
      <c r="B1690" t="s">
        <v>7987</v>
      </c>
      <c r="C1690" t="str">
        <f>"9783038353317"</f>
        <v>9783038353317</v>
      </c>
      <c r="D1690" t="str">
        <f>"9783038267157"</f>
        <v>9783038267157</v>
      </c>
      <c r="E1690" t="s">
        <v>1649</v>
      </c>
      <c r="F1690" t="s">
        <v>1649</v>
      </c>
      <c r="G1690" s="1">
        <v>41995</v>
      </c>
      <c r="H1690" s="1">
        <v>42002</v>
      </c>
      <c r="I1690">
        <v>1</v>
      </c>
      <c r="J1690" t="s">
        <v>4195</v>
      </c>
      <c r="K1690" t="s">
        <v>7988</v>
      </c>
      <c r="L1690" t="s">
        <v>5185</v>
      </c>
      <c r="P1690" t="s">
        <v>18</v>
      </c>
    </row>
    <row r="1691" spans="1:16" x14ac:dyDescent="0.35">
      <c r="A1691">
        <v>1911018</v>
      </c>
      <c r="B1691" t="s">
        <v>7989</v>
      </c>
      <c r="C1691" t="str">
        <f>"9783038353232"</f>
        <v>9783038353232</v>
      </c>
      <c r="D1691" t="str">
        <f>"9783038267072"</f>
        <v>9783038267072</v>
      </c>
      <c r="E1691" t="s">
        <v>1649</v>
      </c>
      <c r="F1691" t="s">
        <v>1649</v>
      </c>
      <c r="G1691" s="1">
        <v>41991</v>
      </c>
      <c r="H1691" s="1">
        <v>42002</v>
      </c>
      <c r="I1691">
        <v>1</v>
      </c>
      <c r="J1691" t="s">
        <v>2393</v>
      </c>
      <c r="K1691" t="s">
        <v>7990</v>
      </c>
      <c r="L1691" t="s">
        <v>5185</v>
      </c>
      <c r="P1691" t="s">
        <v>18</v>
      </c>
    </row>
    <row r="1692" spans="1:16" x14ac:dyDescent="0.35">
      <c r="A1692">
        <v>1911000</v>
      </c>
      <c r="B1692" t="s">
        <v>7991</v>
      </c>
      <c r="C1692" t="str">
        <f>"9783038353034"</f>
        <v>9783038353034</v>
      </c>
      <c r="D1692" t="str">
        <f>"9783038266877"</f>
        <v>9783038266877</v>
      </c>
      <c r="E1692" t="s">
        <v>1649</v>
      </c>
      <c r="F1692" t="s">
        <v>1649</v>
      </c>
      <c r="G1692" s="1">
        <v>41984</v>
      </c>
      <c r="H1692" s="1">
        <v>42002</v>
      </c>
      <c r="I1692">
        <v>1</v>
      </c>
      <c r="J1692" t="s">
        <v>1860</v>
      </c>
      <c r="K1692" t="s">
        <v>7992</v>
      </c>
      <c r="L1692" t="s">
        <v>7259</v>
      </c>
      <c r="P1692" t="s">
        <v>18</v>
      </c>
    </row>
    <row r="1693" spans="1:16" x14ac:dyDescent="0.35">
      <c r="A1693">
        <v>1920934</v>
      </c>
      <c r="B1693" t="s">
        <v>7993</v>
      </c>
      <c r="C1693" t="str">
        <f>"9783631646625"</f>
        <v>9783631646625</v>
      </c>
      <c r="D1693" t="str">
        <f>"9783653041538"</f>
        <v>9783653041538</v>
      </c>
      <c r="E1693" t="s">
        <v>2432</v>
      </c>
      <c r="F1693" t="s">
        <v>2432</v>
      </c>
      <c r="G1693" s="1">
        <v>41982</v>
      </c>
      <c r="H1693" s="1">
        <v>42019</v>
      </c>
      <c r="I1693">
        <v>1</v>
      </c>
      <c r="J1693" t="s">
        <v>7994</v>
      </c>
      <c r="K1693" t="s">
        <v>7995</v>
      </c>
      <c r="L1693" t="s">
        <v>24</v>
      </c>
      <c r="M1693" t="s">
        <v>7996</v>
      </c>
      <c r="N1693">
        <v>810.9</v>
      </c>
      <c r="O1693" t="s">
        <v>7997</v>
      </c>
      <c r="P1693" t="s">
        <v>18</v>
      </c>
    </row>
    <row r="1694" spans="1:16" x14ac:dyDescent="0.35">
      <c r="A1694">
        <v>1911015</v>
      </c>
      <c r="B1694" t="s">
        <v>7998</v>
      </c>
      <c r="C1694" t="str">
        <f>"9783038353201"</f>
        <v>9783038353201</v>
      </c>
      <c r="D1694" t="str">
        <f>"9783038267041"</f>
        <v>9783038267041</v>
      </c>
      <c r="E1694" t="s">
        <v>1649</v>
      </c>
      <c r="F1694" t="s">
        <v>1649</v>
      </c>
      <c r="G1694" s="1">
        <v>41976</v>
      </c>
      <c r="H1694" s="1">
        <v>42002</v>
      </c>
      <c r="I1694">
        <v>1</v>
      </c>
      <c r="J1694" t="s">
        <v>7419</v>
      </c>
      <c r="K1694" t="s">
        <v>7798</v>
      </c>
      <c r="L1694" t="s">
        <v>5185</v>
      </c>
      <c r="P1694" t="s">
        <v>18</v>
      </c>
    </row>
    <row r="1695" spans="1:16" x14ac:dyDescent="0.35">
      <c r="A1695">
        <v>5020799</v>
      </c>
      <c r="B1695" t="s">
        <v>7999</v>
      </c>
      <c r="C1695" t="str">
        <f>"9783954048526"</f>
        <v>9783954048526</v>
      </c>
      <c r="D1695" t="str">
        <f>"9783736948525"</f>
        <v>9783736948525</v>
      </c>
      <c r="E1695" t="s">
        <v>2357</v>
      </c>
      <c r="F1695" t="s">
        <v>2357</v>
      </c>
      <c r="G1695" s="1">
        <v>41975</v>
      </c>
      <c r="H1695" s="1">
        <v>42983</v>
      </c>
      <c r="I1695">
        <v>1</v>
      </c>
      <c r="J1695" t="s">
        <v>8000</v>
      </c>
      <c r="K1695" t="s">
        <v>8001</v>
      </c>
      <c r="L1695" t="s">
        <v>113</v>
      </c>
      <c r="M1695" t="s">
        <v>8002</v>
      </c>
      <c r="N1695" t="s">
        <v>8003</v>
      </c>
      <c r="O1695" t="s">
        <v>8004</v>
      </c>
      <c r="P1695" t="s">
        <v>18</v>
      </c>
    </row>
    <row r="1696" spans="1:16" x14ac:dyDescent="0.35">
      <c r="A1696">
        <v>3433229</v>
      </c>
      <c r="B1696" t="s">
        <v>8005</v>
      </c>
      <c r="C1696" t="str">
        <f>"9781466672543"</f>
        <v>9781466672543</v>
      </c>
      <c r="D1696" t="str">
        <f>"9781466672550"</f>
        <v>9781466672550</v>
      </c>
      <c r="E1696" t="s">
        <v>138</v>
      </c>
      <c r="F1696" t="s">
        <v>138</v>
      </c>
      <c r="G1696" s="1">
        <v>41973</v>
      </c>
      <c r="H1696" s="1">
        <v>42172</v>
      </c>
      <c r="J1696" t="s">
        <v>7925</v>
      </c>
      <c r="K1696" t="s">
        <v>8006</v>
      </c>
      <c r="L1696" t="s">
        <v>110</v>
      </c>
      <c r="M1696" t="s">
        <v>8007</v>
      </c>
      <c r="N1696" t="s">
        <v>160</v>
      </c>
      <c r="O1696" t="s">
        <v>8008</v>
      </c>
      <c r="P1696" t="s">
        <v>18</v>
      </c>
    </row>
    <row r="1697" spans="1:16" x14ac:dyDescent="0.35">
      <c r="A1697">
        <v>1831024</v>
      </c>
      <c r="B1697" t="s">
        <v>8009</v>
      </c>
      <c r="C1697" t="str">
        <f>"9780128012468"</f>
        <v>9780128012468</v>
      </c>
      <c r="D1697" t="str">
        <f>"9780128012642"</f>
        <v>9780128012642</v>
      </c>
      <c r="E1697" t="s">
        <v>190</v>
      </c>
      <c r="F1697" t="s">
        <v>191</v>
      </c>
      <c r="G1697" s="1">
        <v>41972</v>
      </c>
      <c r="H1697" s="1">
        <v>41946</v>
      </c>
      <c r="J1697" t="s">
        <v>291</v>
      </c>
      <c r="K1697" t="s">
        <v>8010</v>
      </c>
      <c r="L1697" t="s">
        <v>492</v>
      </c>
      <c r="M1697" t="s">
        <v>8011</v>
      </c>
      <c r="N1697">
        <v>579.28</v>
      </c>
      <c r="O1697" t="s">
        <v>8012</v>
      </c>
      <c r="P1697" t="s">
        <v>18</v>
      </c>
    </row>
    <row r="1698" spans="1:16" x14ac:dyDescent="0.35">
      <c r="A1698">
        <v>1910977</v>
      </c>
      <c r="B1698" t="s">
        <v>8013</v>
      </c>
      <c r="C1698" t="str">
        <f>"9783038352808"</f>
        <v>9783038352808</v>
      </c>
      <c r="D1698" t="str">
        <f>"9783038266648"</f>
        <v>9783038266648</v>
      </c>
      <c r="E1698" t="s">
        <v>1649</v>
      </c>
      <c r="F1698" t="s">
        <v>1649</v>
      </c>
      <c r="G1698" s="1">
        <v>41969</v>
      </c>
      <c r="H1698" s="1">
        <v>42002</v>
      </c>
      <c r="I1698">
        <v>1</v>
      </c>
      <c r="J1698" t="s">
        <v>7419</v>
      </c>
      <c r="K1698" t="s">
        <v>8014</v>
      </c>
      <c r="L1698" t="s">
        <v>7259</v>
      </c>
      <c r="P1698" t="s">
        <v>18</v>
      </c>
    </row>
    <row r="1699" spans="1:16" x14ac:dyDescent="0.35">
      <c r="A1699">
        <v>1910984</v>
      </c>
      <c r="B1699" t="s">
        <v>8015</v>
      </c>
      <c r="C1699" t="str">
        <f>"9783038352877"</f>
        <v>9783038352877</v>
      </c>
      <c r="D1699" t="str">
        <f>"9783038266716"</f>
        <v>9783038266716</v>
      </c>
      <c r="E1699" t="s">
        <v>1649</v>
      </c>
      <c r="F1699" t="s">
        <v>1649</v>
      </c>
      <c r="G1699" s="1">
        <v>41969</v>
      </c>
      <c r="H1699" s="1">
        <v>42002</v>
      </c>
      <c r="I1699">
        <v>1</v>
      </c>
      <c r="J1699" t="s">
        <v>4195</v>
      </c>
      <c r="K1699" t="s">
        <v>8016</v>
      </c>
      <c r="L1699" t="s">
        <v>5185</v>
      </c>
      <c r="P1699" t="s">
        <v>18</v>
      </c>
    </row>
    <row r="1700" spans="1:16" x14ac:dyDescent="0.35">
      <c r="A1700">
        <v>1910945</v>
      </c>
      <c r="B1700" t="s">
        <v>8017</v>
      </c>
      <c r="C1700" t="str">
        <f>"9783038352488"</f>
        <v>9783038352488</v>
      </c>
      <c r="D1700" t="str">
        <f>"9783038266327"</f>
        <v>9783038266327</v>
      </c>
      <c r="E1700" t="s">
        <v>1649</v>
      </c>
      <c r="F1700" t="s">
        <v>1649</v>
      </c>
      <c r="G1700" s="1">
        <v>41962</v>
      </c>
      <c r="H1700" s="1">
        <v>42002</v>
      </c>
      <c r="I1700">
        <v>1</v>
      </c>
      <c r="J1700" t="s">
        <v>7419</v>
      </c>
      <c r="K1700" t="s">
        <v>8018</v>
      </c>
      <c r="L1700" t="s">
        <v>5185</v>
      </c>
      <c r="P1700" t="s">
        <v>18</v>
      </c>
    </row>
    <row r="1701" spans="1:16" x14ac:dyDescent="0.35">
      <c r="A1701">
        <v>1910980</v>
      </c>
      <c r="B1701" t="s">
        <v>8019</v>
      </c>
      <c r="C1701" t="str">
        <f>"9783038352839"</f>
        <v>9783038352839</v>
      </c>
      <c r="D1701" t="str">
        <f>"9783038266679"</f>
        <v>9783038266679</v>
      </c>
      <c r="E1701" t="s">
        <v>1649</v>
      </c>
      <c r="F1701" t="s">
        <v>1649</v>
      </c>
      <c r="G1701" s="1">
        <v>41962</v>
      </c>
      <c r="H1701" s="1">
        <v>42002</v>
      </c>
      <c r="I1701">
        <v>1</v>
      </c>
      <c r="J1701" t="s">
        <v>4195</v>
      </c>
      <c r="K1701" t="s">
        <v>8020</v>
      </c>
      <c r="L1701" t="s">
        <v>7259</v>
      </c>
      <c r="P1701" t="s">
        <v>18</v>
      </c>
    </row>
    <row r="1702" spans="1:16" x14ac:dyDescent="0.35">
      <c r="A1702">
        <v>1757715</v>
      </c>
      <c r="B1702" t="s">
        <v>8021</v>
      </c>
      <c r="C1702" t="str">
        <f>"9780124172913"</f>
        <v>9780124172913</v>
      </c>
      <c r="D1702" t="str">
        <f>"9780124173057"</f>
        <v>9780124173057</v>
      </c>
      <c r="E1702" t="s">
        <v>190</v>
      </c>
      <c r="F1702" t="s">
        <v>191</v>
      </c>
      <c r="G1702" s="1">
        <v>41960</v>
      </c>
      <c r="H1702" s="1">
        <v>41852</v>
      </c>
      <c r="K1702" t="s">
        <v>8022</v>
      </c>
      <c r="L1702" t="s">
        <v>264</v>
      </c>
      <c r="M1702" t="s">
        <v>8023</v>
      </c>
      <c r="N1702" t="s">
        <v>8024</v>
      </c>
      <c r="O1702" t="s">
        <v>8025</v>
      </c>
      <c r="P1702" t="s">
        <v>18</v>
      </c>
    </row>
    <row r="1703" spans="1:16" x14ac:dyDescent="0.35">
      <c r="A1703">
        <v>1880165</v>
      </c>
      <c r="B1703" t="s">
        <v>8026</v>
      </c>
      <c r="C1703" t="str">
        <f>"9780128022047"</f>
        <v>9780128022047</v>
      </c>
      <c r="D1703" t="str">
        <f>"9780128031087"</f>
        <v>9780128031087</v>
      </c>
      <c r="E1703" t="s">
        <v>190</v>
      </c>
      <c r="F1703" t="s">
        <v>191</v>
      </c>
      <c r="G1703" s="1">
        <v>41960</v>
      </c>
      <c r="H1703" s="1">
        <v>41977</v>
      </c>
      <c r="K1703" t="s">
        <v>8027</v>
      </c>
      <c r="L1703" t="s">
        <v>26</v>
      </c>
      <c r="M1703" t="s">
        <v>8028</v>
      </c>
      <c r="N1703">
        <v>338.92701099999999</v>
      </c>
      <c r="O1703" t="s">
        <v>8029</v>
      </c>
      <c r="P1703" t="s">
        <v>18</v>
      </c>
    </row>
    <row r="1704" spans="1:16" x14ac:dyDescent="0.35">
      <c r="A1704">
        <v>5022426</v>
      </c>
      <c r="B1704" t="s">
        <v>8030</v>
      </c>
      <c r="C1704" t="str">
        <f>"9783954048427"</f>
        <v>9783954048427</v>
      </c>
      <c r="D1704" t="str">
        <f>"9783736948426"</f>
        <v>9783736948426</v>
      </c>
      <c r="E1704" t="s">
        <v>2357</v>
      </c>
      <c r="F1704" t="s">
        <v>2357</v>
      </c>
      <c r="G1704" s="1">
        <v>41953</v>
      </c>
      <c r="H1704" s="1">
        <v>42983</v>
      </c>
      <c r="I1704">
        <v>1</v>
      </c>
      <c r="J1704" t="s">
        <v>3760</v>
      </c>
      <c r="K1704" t="s">
        <v>8031</v>
      </c>
      <c r="L1704" t="s">
        <v>176</v>
      </c>
      <c r="M1704" t="s">
        <v>8032</v>
      </c>
      <c r="N1704">
        <v>546.68119999999897</v>
      </c>
      <c r="O1704" t="s">
        <v>8033</v>
      </c>
      <c r="P1704" t="s">
        <v>18</v>
      </c>
    </row>
    <row r="1705" spans="1:16" x14ac:dyDescent="0.35">
      <c r="A1705">
        <v>1910955</v>
      </c>
      <c r="B1705" t="s">
        <v>8034</v>
      </c>
      <c r="C1705" t="str">
        <f>"9783038352594"</f>
        <v>9783038352594</v>
      </c>
      <c r="D1705" t="str">
        <f>"9783038266433"</f>
        <v>9783038266433</v>
      </c>
      <c r="E1705" t="s">
        <v>1649</v>
      </c>
      <c r="F1705" t="s">
        <v>1649</v>
      </c>
      <c r="G1705" s="1">
        <v>41948</v>
      </c>
      <c r="H1705" s="1">
        <v>42002</v>
      </c>
      <c r="I1705">
        <v>1</v>
      </c>
      <c r="J1705" t="s">
        <v>4195</v>
      </c>
      <c r="K1705" t="s">
        <v>8035</v>
      </c>
      <c r="L1705" t="s">
        <v>5185</v>
      </c>
      <c r="P1705" t="s">
        <v>18</v>
      </c>
    </row>
    <row r="1706" spans="1:16" x14ac:dyDescent="0.35">
      <c r="A1706">
        <v>1794591</v>
      </c>
      <c r="B1706" t="s">
        <v>8036</v>
      </c>
      <c r="C1706" t="str">
        <f>"9781782544692"</f>
        <v>9781782544692</v>
      </c>
      <c r="D1706" t="str">
        <f>"9781782544708"</f>
        <v>9781782544708</v>
      </c>
      <c r="E1706" t="s">
        <v>2080</v>
      </c>
      <c r="F1706" t="s">
        <v>7033</v>
      </c>
      <c r="G1706" s="1">
        <v>41944</v>
      </c>
      <c r="H1706" s="1">
        <v>41908</v>
      </c>
      <c r="I1706">
        <v>2</v>
      </c>
      <c r="J1706" t="s">
        <v>8037</v>
      </c>
      <c r="K1706" t="s">
        <v>8038</v>
      </c>
      <c r="L1706" t="s">
        <v>41</v>
      </c>
      <c r="M1706" t="s">
        <v>8039</v>
      </c>
      <c r="N1706">
        <v>338.92700000000002</v>
      </c>
      <c r="O1706" t="s">
        <v>503</v>
      </c>
      <c r="P1706" t="s">
        <v>18</v>
      </c>
    </row>
    <row r="1707" spans="1:16" x14ac:dyDescent="0.35">
      <c r="A1707">
        <v>3033421</v>
      </c>
      <c r="B1707" t="s">
        <v>8040</v>
      </c>
      <c r="C1707" t="str">
        <f>"9783161534065"</f>
        <v>9783161534065</v>
      </c>
      <c r="D1707" t="str">
        <f>"9783161534737"</f>
        <v>9783161534737</v>
      </c>
      <c r="E1707" t="s">
        <v>4379</v>
      </c>
      <c r="F1707" t="s">
        <v>4379</v>
      </c>
      <c r="G1707" s="1">
        <v>41944</v>
      </c>
      <c r="H1707" s="1">
        <v>42041</v>
      </c>
      <c r="I1707">
        <v>1</v>
      </c>
      <c r="J1707" t="s">
        <v>4380</v>
      </c>
      <c r="K1707" t="s">
        <v>8041</v>
      </c>
      <c r="L1707" t="s">
        <v>79</v>
      </c>
      <c r="M1707" t="s">
        <v>8042</v>
      </c>
      <c r="N1707">
        <v>302.10000000000002</v>
      </c>
      <c r="O1707" t="s">
        <v>8043</v>
      </c>
      <c r="P1707" t="s">
        <v>315</v>
      </c>
    </row>
    <row r="1708" spans="1:16" x14ac:dyDescent="0.35">
      <c r="A1708">
        <v>3313143</v>
      </c>
      <c r="B1708" t="s">
        <v>8044</v>
      </c>
      <c r="C1708" t="str">
        <f>"9781466666351"</f>
        <v>9781466666351</v>
      </c>
      <c r="D1708" t="str">
        <f>"9781466666368"</f>
        <v>9781466666368</v>
      </c>
      <c r="E1708" t="s">
        <v>138</v>
      </c>
      <c r="F1708" t="s">
        <v>138</v>
      </c>
      <c r="G1708" s="1">
        <v>41943</v>
      </c>
      <c r="H1708" s="1">
        <v>42019</v>
      </c>
      <c r="J1708" t="s">
        <v>7834</v>
      </c>
      <c r="K1708" t="s">
        <v>2522</v>
      </c>
      <c r="L1708" t="s">
        <v>41</v>
      </c>
      <c r="M1708" t="s">
        <v>8045</v>
      </c>
      <c r="N1708" t="s">
        <v>8046</v>
      </c>
      <c r="O1708" t="s">
        <v>8047</v>
      </c>
      <c r="P1708" t="s">
        <v>18</v>
      </c>
    </row>
    <row r="1709" spans="1:16" x14ac:dyDescent="0.35">
      <c r="A1709">
        <v>1816990</v>
      </c>
      <c r="B1709" t="s">
        <v>8048</v>
      </c>
      <c r="C1709" t="str">
        <f>"9781780642758"</f>
        <v>9781780642758</v>
      </c>
      <c r="D1709" t="str">
        <f>"9781780642765"</f>
        <v>9781780642765</v>
      </c>
      <c r="E1709" t="s">
        <v>333</v>
      </c>
      <c r="F1709" t="s">
        <v>333</v>
      </c>
      <c r="G1709" s="1">
        <v>41932</v>
      </c>
      <c r="H1709" s="1">
        <v>41929</v>
      </c>
      <c r="K1709" t="s">
        <v>8049</v>
      </c>
      <c r="L1709" t="s">
        <v>168</v>
      </c>
      <c r="M1709" t="s">
        <v>8050</v>
      </c>
      <c r="N1709">
        <v>632.70000000000005</v>
      </c>
      <c r="O1709" t="s">
        <v>8051</v>
      </c>
      <c r="P1709" t="s">
        <v>18</v>
      </c>
    </row>
    <row r="1710" spans="1:16" x14ac:dyDescent="0.35">
      <c r="A1710">
        <v>1813061</v>
      </c>
      <c r="B1710" t="s">
        <v>8052</v>
      </c>
      <c r="C1710" t="str">
        <f>"9781442240308"</f>
        <v>9781442240308</v>
      </c>
      <c r="D1710" t="str">
        <f>"9781442240315"</f>
        <v>9781442240315</v>
      </c>
      <c r="E1710" t="s">
        <v>6849</v>
      </c>
      <c r="F1710" t="s">
        <v>6849</v>
      </c>
      <c r="G1710" s="1">
        <v>41919</v>
      </c>
      <c r="H1710" s="1">
        <v>41953</v>
      </c>
      <c r="J1710" t="s">
        <v>6850</v>
      </c>
      <c r="K1710" t="s">
        <v>8053</v>
      </c>
      <c r="L1710" t="s">
        <v>41</v>
      </c>
      <c r="M1710" t="s">
        <v>8054</v>
      </c>
      <c r="N1710">
        <v>338.7095491</v>
      </c>
      <c r="O1710" t="s">
        <v>8055</v>
      </c>
      <c r="P1710" t="s">
        <v>18</v>
      </c>
    </row>
    <row r="1711" spans="1:16" x14ac:dyDescent="0.35">
      <c r="A1711">
        <v>1644376</v>
      </c>
      <c r="B1711" t="s">
        <v>8056</v>
      </c>
      <c r="C1711" t="str">
        <f>"9781782384670"</f>
        <v>9781782384670</v>
      </c>
      <c r="D1711" t="str">
        <f>"9781782384687"</f>
        <v>9781782384687</v>
      </c>
      <c r="E1711" t="s">
        <v>447</v>
      </c>
      <c r="F1711" t="s">
        <v>447</v>
      </c>
      <c r="G1711" s="1">
        <v>41913</v>
      </c>
      <c r="H1711" s="1">
        <v>41902</v>
      </c>
      <c r="I1711">
        <v>1</v>
      </c>
      <c r="J1711" t="s">
        <v>8057</v>
      </c>
      <c r="K1711" t="s">
        <v>8058</v>
      </c>
      <c r="L1711" t="s">
        <v>26</v>
      </c>
      <c r="M1711" t="s">
        <v>8059</v>
      </c>
      <c r="N1711" t="s">
        <v>5357</v>
      </c>
      <c r="P1711" t="s">
        <v>18</v>
      </c>
    </row>
    <row r="1712" spans="1:16" x14ac:dyDescent="0.35">
      <c r="A1712">
        <v>3433224</v>
      </c>
      <c r="B1712" t="s">
        <v>8060</v>
      </c>
      <c r="C1712" t="str">
        <f>"9781466664456"</f>
        <v>9781466664456</v>
      </c>
      <c r="D1712" t="str">
        <f>"9781466664463"</f>
        <v>9781466664463</v>
      </c>
      <c r="E1712" t="s">
        <v>138</v>
      </c>
      <c r="F1712" t="s">
        <v>138</v>
      </c>
      <c r="G1712" s="1">
        <v>41912</v>
      </c>
      <c r="H1712" s="1">
        <v>42164</v>
      </c>
      <c r="J1712" t="s">
        <v>8061</v>
      </c>
      <c r="K1712" t="s">
        <v>8062</v>
      </c>
      <c r="L1712" t="s">
        <v>28</v>
      </c>
      <c r="M1712" t="s">
        <v>8063</v>
      </c>
      <c r="N1712" t="s">
        <v>8064</v>
      </c>
      <c r="O1712" t="s">
        <v>8065</v>
      </c>
      <c r="P1712" t="s">
        <v>18</v>
      </c>
    </row>
    <row r="1713" spans="1:16" x14ac:dyDescent="0.35">
      <c r="A1713">
        <v>1685643</v>
      </c>
      <c r="B1713" t="s">
        <v>8066</v>
      </c>
      <c r="C1713" t="str">
        <f>"9781441115720"</f>
        <v>9781441115720</v>
      </c>
      <c r="D1713" t="str">
        <f>"9781441170514"</f>
        <v>9781441170514</v>
      </c>
      <c r="E1713" t="s">
        <v>354</v>
      </c>
      <c r="F1713" t="s">
        <v>355</v>
      </c>
      <c r="G1713" s="1">
        <v>41907</v>
      </c>
      <c r="H1713" s="1">
        <v>42244</v>
      </c>
      <c r="I1713">
        <v>1</v>
      </c>
      <c r="K1713" t="s">
        <v>8067</v>
      </c>
      <c r="L1713" t="s">
        <v>105</v>
      </c>
      <c r="M1713" t="s">
        <v>8068</v>
      </c>
      <c r="N1713">
        <v>363.70089999999999</v>
      </c>
      <c r="O1713" t="s">
        <v>8069</v>
      </c>
      <c r="P1713" t="s">
        <v>18</v>
      </c>
    </row>
    <row r="1714" spans="1:16" x14ac:dyDescent="0.35">
      <c r="A1714">
        <v>1792805</v>
      </c>
      <c r="B1714" t="s">
        <v>8070</v>
      </c>
      <c r="C1714" t="str">
        <f>"9780128003473"</f>
        <v>9780128003473</v>
      </c>
      <c r="D1714" t="str">
        <f>"9780128004166"</f>
        <v>9780128004166</v>
      </c>
      <c r="E1714" t="s">
        <v>190</v>
      </c>
      <c r="F1714" t="s">
        <v>191</v>
      </c>
      <c r="G1714" s="1">
        <v>41907</v>
      </c>
      <c r="H1714" s="1">
        <v>41904</v>
      </c>
      <c r="K1714" t="s">
        <v>8071</v>
      </c>
      <c r="L1714" t="s">
        <v>41</v>
      </c>
      <c r="M1714" t="s">
        <v>8072</v>
      </c>
      <c r="N1714">
        <v>338.92700000000002</v>
      </c>
      <c r="O1714" t="s">
        <v>8073</v>
      </c>
      <c r="P1714" t="s">
        <v>18</v>
      </c>
    </row>
    <row r="1715" spans="1:16" x14ac:dyDescent="0.35">
      <c r="A1715">
        <v>3138802</v>
      </c>
      <c r="B1715" t="s">
        <v>8074</v>
      </c>
      <c r="C1715" t="str">
        <f>""</f>
        <v/>
      </c>
      <c r="D1715" t="str">
        <f>"9789287178367"</f>
        <v>9789287178367</v>
      </c>
      <c r="E1715" t="s">
        <v>542</v>
      </c>
      <c r="F1715" t="s">
        <v>542</v>
      </c>
      <c r="G1715" s="1">
        <v>41893</v>
      </c>
      <c r="H1715" s="1">
        <v>41957</v>
      </c>
      <c r="K1715" t="s">
        <v>542</v>
      </c>
      <c r="L1715" t="s">
        <v>30</v>
      </c>
      <c r="M1715" t="s">
        <v>8075</v>
      </c>
      <c r="N1715">
        <v>370.94</v>
      </c>
      <c r="O1715" t="s">
        <v>8076</v>
      </c>
      <c r="P1715" t="s">
        <v>18</v>
      </c>
    </row>
    <row r="1716" spans="1:16" x14ac:dyDescent="0.35">
      <c r="A1716">
        <v>4719242</v>
      </c>
      <c r="B1716" t="s">
        <v>8077</v>
      </c>
      <c r="C1716" t="str">
        <f>"9780309304849"</f>
        <v>9780309304849</v>
      </c>
      <c r="D1716" t="str">
        <f>"9780309304856"</f>
        <v>9780309304856</v>
      </c>
      <c r="E1716" t="s">
        <v>531</v>
      </c>
      <c r="F1716" t="s">
        <v>531</v>
      </c>
      <c r="G1716" s="1">
        <v>41888</v>
      </c>
      <c r="H1716" s="1">
        <v>42662</v>
      </c>
      <c r="I1716">
        <v>1</v>
      </c>
      <c r="K1716" t="s">
        <v>8078</v>
      </c>
      <c r="L1716" t="s">
        <v>533</v>
      </c>
      <c r="P1716" t="s">
        <v>18</v>
      </c>
    </row>
    <row r="1717" spans="1:16" x14ac:dyDescent="0.35">
      <c r="A1717">
        <v>1910861</v>
      </c>
      <c r="B1717" t="s">
        <v>8079</v>
      </c>
      <c r="C1717" t="str">
        <f>"9783038351634"</f>
        <v>9783038351634</v>
      </c>
      <c r="D1717" t="str">
        <f>"9783038265467"</f>
        <v>9783038265467</v>
      </c>
      <c r="E1717" t="s">
        <v>1649</v>
      </c>
      <c r="F1717" t="s">
        <v>1649</v>
      </c>
      <c r="G1717" s="1">
        <v>41887</v>
      </c>
      <c r="H1717" s="1">
        <v>42002</v>
      </c>
      <c r="I1717">
        <v>1</v>
      </c>
      <c r="J1717" t="s">
        <v>4195</v>
      </c>
      <c r="K1717" t="s">
        <v>8080</v>
      </c>
      <c r="L1717" t="s">
        <v>8081</v>
      </c>
      <c r="P1717" t="s">
        <v>18</v>
      </c>
    </row>
    <row r="1718" spans="1:16" x14ac:dyDescent="0.35">
      <c r="A1718">
        <v>1910864</v>
      </c>
      <c r="B1718" t="s">
        <v>8082</v>
      </c>
      <c r="C1718" t="str">
        <f>"9783038351672"</f>
        <v>9783038351672</v>
      </c>
      <c r="D1718" t="str">
        <f>"9783038265504"</f>
        <v>9783038265504</v>
      </c>
      <c r="E1718" t="s">
        <v>1649</v>
      </c>
      <c r="F1718" t="s">
        <v>1649</v>
      </c>
      <c r="G1718" s="1">
        <v>41880</v>
      </c>
      <c r="H1718" s="1">
        <v>42002</v>
      </c>
      <c r="I1718">
        <v>1</v>
      </c>
      <c r="J1718" t="s">
        <v>4195</v>
      </c>
      <c r="K1718" t="s">
        <v>8083</v>
      </c>
      <c r="L1718" t="s">
        <v>5185</v>
      </c>
      <c r="P1718" t="s">
        <v>18</v>
      </c>
    </row>
    <row r="1719" spans="1:16" x14ac:dyDescent="0.35">
      <c r="A1719">
        <v>1745915</v>
      </c>
      <c r="B1719" t="s">
        <v>8084</v>
      </c>
      <c r="C1719" t="str">
        <f>"9780749471521"</f>
        <v>9780749471521</v>
      </c>
      <c r="D1719" t="str">
        <f>"9780749471538"</f>
        <v>9780749471538</v>
      </c>
      <c r="E1719" t="s">
        <v>215</v>
      </c>
      <c r="F1719" t="s">
        <v>215</v>
      </c>
      <c r="G1719" s="1">
        <v>41877</v>
      </c>
      <c r="H1719" s="1">
        <v>41841</v>
      </c>
      <c r="I1719">
        <v>1</v>
      </c>
      <c r="K1719" t="s">
        <v>8085</v>
      </c>
      <c r="L1719" t="s">
        <v>28</v>
      </c>
      <c r="M1719" t="s">
        <v>8086</v>
      </c>
      <c r="N1719">
        <v>658.8</v>
      </c>
      <c r="O1719" t="s">
        <v>8087</v>
      </c>
      <c r="P1719" t="s">
        <v>18</v>
      </c>
    </row>
    <row r="1720" spans="1:16" x14ac:dyDescent="0.35">
      <c r="A1720">
        <v>5538595</v>
      </c>
      <c r="B1720" t="s">
        <v>8088</v>
      </c>
      <c r="C1720" t="str">
        <f>"9780737768695"</f>
        <v>9780737768695</v>
      </c>
      <c r="D1720" t="str">
        <f>"9780737776621"</f>
        <v>9780737776621</v>
      </c>
      <c r="E1720" t="s">
        <v>2682</v>
      </c>
      <c r="F1720" t="s">
        <v>2683</v>
      </c>
      <c r="G1720" s="1">
        <v>41874</v>
      </c>
      <c r="H1720" s="1">
        <v>43379</v>
      </c>
      <c r="I1720">
        <v>1</v>
      </c>
      <c r="J1720" t="s">
        <v>8089</v>
      </c>
      <c r="K1720" t="s">
        <v>8090</v>
      </c>
      <c r="L1720" t="s">
        <v>168</v>
      </c>
      <c r="N1720" t="s">
        <v>8091</v>
      </c>
      <c r="P1720" t="s">
        <v>18</v>
      </c>
    </row>
    <row r="1721" spans="1:16" x14ac:dyDescent="0.35">
      <c r="A1721">
        <v>1910839</v>
      </c>
      <c r="B1721" t="s">
        <v>8092</v>
      </c>
      <c r="C1721" t="str">
        <f>"9783038351443"</f>
        <v>9783038351443</v>
      </c>
      <c r="D1721" t="str">
        <f>"9783038265276"</f>
        <v>9783038265276</v>
      </c>
      <c r="E1721" t="s">
        <v>1649</v>
      </c>
      <c r="F1721" t="s">
        <v>1649</v>
      </c>
      <c r="G1721" s="1">
        <v>41866</v>
      </c>
      <c r="H1721" s="1">
        <v>42002</v>
      </c>
      <c r="I1721">
        <v>1</v>
      </c>
      <c r="J1721" t="s">
        <v>1671</v>
      </c>
      <c r="K1721" t="s">
        <v>8093</v>
      </c>
      <c r="L1721" t="s">
        <v>7259</v>
      </c>
      <c r="P1721" t="s">
        <v>18</v>
      </c>
    </row>
    <row r="1722" spans="1:16" x14ac:dyDescent="0.35">
      <c r="A1722">
        <v>1910788</v>
      </c>
      <c r="B1722" t="s">
        <v>8094</v>
      </c>
      <c r="C1722" t="str">
        <f>"9783038350927"</f>
        <v>9783038350927</v>
      </c>
      <c r="D1722" t="str">
        <f>"9783038264736"</f>
        <v>9783038264736</v>
      </c>
      <c r="E1722" t="s">
        <v>1649</v>
      </c>
      <c r="F1722" t="s">
        <v>1649</v>
      </c>
      <c r="G1722" s="1">
        <v>41857</v>
      </c>
      <c r="H1722" s="1">
        <v>42002</v>
      </c>
      <c r="I1722">
        <v>1</v>
      </c>
      <c r="J1722" t="s">
        <v>7419</v>
      </c>
      <c r="K1722" t="s">
        <v>8095</v>
      </c>
      <c r="L1722" t="s">
        <v>7259</v>
      </c>
      <c r="P1722" t="s">
        <v>18</v>
      </c>
    </row>
    <row r="1723" spans="1:16" x14ac:dyDescent="0.35">
      <c r="A1723">
        <v>1420463</v>
      </c>
      <c r="B1723" t="s">
        <v>8096</v>
      </c>
      <c r="C1723" t="str">
        <f>"9781782383710"</f>
        <v>9781782383710</v>
      </c>
      <c r="D1723" t="str">
        <f>"9781782383727"</f>
        <v>9781782383727</v>
      </c>
      <c r="E1723" t="s">
        <v>447</v>
      </c>
      <c r="F1723" t="s">
        <v>447</v>
      </c>
      <c r="G1723" s="1">
        <v>41852</v>
      </c>
      <c r="H1723" s="1">
        <v>41843</v>
      </c>
      <c r="I1723">
        <v>1</v>
      </c>
      <c r="J1723" t="s">
        <v>4079</v>
      </c>
      <c r="K1723" t="s">
        <v>8097</v>
      </c>
      <c r="L1723" t="s">
        <v>41</v>
      </c>
      <c r="M1723" t="s">
        <v>8098</v>
      </c>
      <c r="N1723">
        <v>338.95359999999999</v>
      </c>
      <c r="P1723" t="s">
        <v>18</v>
      </c>
    </row>
    <row r="1724" spans="1:16" x14ac:dyDescent="0.35">
      <c r="A1724">
        <v>1718624</v>
      </c>
      <c r="B1724" t="s">
        <v>8099</v>
      </c>
      <c r="C1724" t="str">
        <f>"9780124105140"</f>
        <v>9780124105140</v>
      </c>
      <c r="D1724" t="str">
        <f>"9780124105218"</f>
        <v>9780124105218</v>
      </c>
      <c r="E1724" t="s">
        <v>190</v>
      </c>
      <c r="F1724" t="s">
        <v>191</v>
      </c>
      <c r="G1724" s="1">
        <v>41852</v>
      </c>
      <c r="H1724" s="1">
        <v>41815</v>
      </c>
      <c r="K1724" t="s">
        <v>8100</v>
      </c>
      <c r="L1724" t="s">
        <v>8101</v>
      </c>
      <c r="M1724" t="s">
        <v>8102</v>
      </c>
      <c r="N1724" t="s">
        <v>8103</v>
      </c>
      <c r="O1724" t="s">
        <v>8104</v>
      </c>
      <c r="P1724" t="s">
        <v>18</v>
      </c>
    </row>
    <row r="1725" spans="1:16" x14ac:dyDescent="0.35">
      <c r="A1725">
        <v>5255524</v>
      </c>
      <c r="B1725" t="s">
        <v>8105</v>
      </c>
      <c r="C1725" t="str">
        <f>"9780749470418"</f>
        <v>9780749470418</v>
      </c>
      <c r="D1725" t="str">
        <f>"9780749470425"</f>
        <v>9780749470425</v>
      </c>
      <c r="E1725" t="s">
        <v>215</v>
      </c>
      <c r="F1725" t="s">
        <v>215</v>
      </c>
      <c r="G1725" s="1">
        <v>41849</v>
      </c>
      <c r="H1725" s="1">
        <v>43133</v>
      </c>
      <c r="I1725">
        <v>2</v>
      </c>
      <c r="K1725" t="s">
        <v>546</v>
      </c>
      <c r="L1725" t="s">
        <v>28</v>
      </c>
      <c r="M1725" t="s">
        <v>8106</v>
      </c>
      <c r="N1725" t="s">
        <v>5141</v>
      </c>
      <c r="P1725" t="s">
        <v>18</v>
      </c>
    </row>
    <row r="1726" spans="1:16" x14ac:dyDescent="0.35">
      <c r="A1726">
        <v>1756970</v>
      </c>
      <c r="B1726" t="s">
        <v>8107</v>
      </c>
      <c r="C1726" t="str">
        <f>"9780444595669"</f>
        <v>9780444595669</v>
      </c>
      <c r="D1726" t="str">
        <f>"9780444595782"</f>
        <v>9780444595782</v>
      </c>
      <c r="E1726" t="s">
        <v>1699</v>
      </c>
      <c r="F1726" t="s">
        <v>1699</v>
      </c>
      <c r="G1726" s="1">
        <v>41848</v>
      </c>
      <c r="H1726" s="1">
        <v>41850</v>
      </c>
      <c r="K1726" t="s">
        <v>8108</v>
      </c>
      <c r="L1726" t="s">
        <v>116</v>
      </c>
      <c r="M1726" t="s">
        <v>8109</v>
      </c>
      <c r="N1726">
        <v>621.04200000000003</v>
      </c>
      <c r="O1726" t="s">
        <v>8110</v>
      </c>
      <c r="P1726" t="s">
        <v>18</v>
      </c>
    </row>
    <row r="1727" spans="1:16" x14ac:dyDescent="0.35">
      <c r="A1727">
        <v>1762230</v>
      </c>
      <c r="B1727" t="s">
        <v>8111</v>
      </c>
      <c r="C1727" t="str">
        <f>"9780444627094"</f>
        <v>9780444627094</v>
      </c>
      <c r="D1727" t="str">
        <f>"9780444627292"</f>
        <v>9780444627292</v>
      </c>
      <c r="E1727" t="s">
        <v>1699</v>
      </c>
      <c r="F1727" t="s">
        <v>1699</v>
      </c>
      <c r="G1727" s="1">
        <v>41845</v>
      </c>
      <c r="H1727" s="1">
        <v>41859</v>
      </c>
      <c r="K1727" t="s">
        <v>8112</v>
      </c>
      <c r="L1727" t="s">
        <v>92</v>
      </c>
      <c r="M1727" t="s">
        <v>8113</v>
      </c>
      <c r="N1727">
        <v>333.79399999999998</v>
      </c>
      <c r="O1727" t="s">
        <v>503</v>
      </c>
      <c r="P1727" t="s">
        <v>18</v>
      </c>
    </row>
    <row r="1728" spans="1:16" x14ac:dyDescent="0.35">
      <c r="A1728">
        <v>1766504</v>
      </c>
      <c r="B1728" t="s">
        <v>8114</v>
      </c>
      <c r="C1728" t="str">
        <f>"9782875741875"</f>
        <v>9782875741875</v>
      </c>
      <c r="D1728" t="str">
        <f>"9783035264340"</f>
        <v>9783035264340</v>
      </c>
      <c r="E1728" t="s">
        <v>2432</v>
      </c>
      <c r="F1728" t="s">
        <v>7333</v>
      </c>
      <c r="G1728" s="1">
        <v>41845</v>
      </c>
      <c r="H1728" s="1">
        <v>41864</v>
      </c>
      <c r="I1728">
        <v>1</v>
      </c>
      <c r="K1728" t="s">
        <v>8115</v>
      </c>
      <c r="L1728" t="s">
        <v>38</v>
      </c>
      <c r="M1728" t="s">
        <v>8116</v>
      </c>
      <c r="N1728">
        <v>307.12</v>
      </c>
      <c r="O1728" t="s">
        <v>325</v>
      </c>
      <c r="P1728" t="s">
        <v>18</v>
      </c>
    </row>
    <row r="1729" spans="1:16" x14ac:dyDescent="0.35">
      <c r="A1729">
        <v>1910796</v>
      </c>
      <c r="B1729" t="s">
        <v>8117</v>
      </c>
      <c r="C1729" t="str">
        <f>"9783038351009"</f>
        <v>9783038351009</v>
      </c>
      <c r="D1729" t="str">
        <f>"9783038264811"</f>
        <v>9783038264811</v>
      </c>
      <c r="E1729" t="s">
        <v>1649</v>
      </c>
      <c r="F1729" t="s">
        <v>1649</v>
      </c>
      <c r="G1729" s="1">
        <v>41829</v>
      </c>
      <c r="H1729" s="1">
        <v>42002</v>
      </c>
      <c r="I1729">
        <v>1</v>
      </c>
      <c r="J1729" t="s">
        <v>7419</v>
      </c>
      <c r="K1729" t="s">
        <v>8118</v>
      </c>
      <c r="L1729" t="s">
        <v>7259</v>
      </c>
      <c r="P1729" t="s">
        <v>18</v>
      </c>
    </row>
    <row r="1730" spans="1:16" x14ac:dyDescent="0.35">
      <c r="A1730">
        <v>1910801</v>
      </c>
      <c r="B1730" t="s">
        <v>8119</v>
      </c>
      <c r="C1730" t="str">
        <f>"9783038351054"</f>
        <v>9783038351054</v>
      </c>
      <c r="D1730" t="str">
        <f>"9783038264866"</f>
        <v>9783038264866</v>
      </c>
      <c r="E1730" t="s">
        <v>1649</v>
      </c>
      <c r="F1730" t="s">
        <v>1649</v>
      </c>
      <c r="G1730" s="1">
        <v>41827</v>
      </c>
      <c r="H1730" s="1">
        <v>42002</v>
      </c>
      <c r="I1730">
        <v>1</v>
      </c>
      <c r="J1730" t="s">
        <v>2393</v>
      </c>
      <c r="K1730" t="s">
        <v>8120</v>
      </c>
      <c r="L1730" t="s">
        <v>5185</v>
      </c>
      <c r="P1730" t="s">
        <v>18</v>
      </c>
    </row>
    <row r="1731" spans="1:16" x14ac:dyDescent="0.35">
      <c r="A1731">
        <v>1910778</v>
      </c>
      <c r="B1731" t="s">
        <v>8121</v>
      </c>
      <c r="C1731" t="str">
        <f>"9783038350828"</f>
        <v>9783038350828</v>
      </c>
      <c r="D1731" t="str">
        <f>"9783038264637"</f>
        <v>9783038264637</v>
      </c>
      <c r="E1731" t="s">
        <v>1649</v>
      </c>
      <c r="F1731" t="s">
        <v>1649</v>
      </c>
      <c r="G1731" s="1">
        <v>41822</v>
      </c>
      <c r="H1731" s="1">
        <v>42002</v>
      </c>
      <c r="I1731">
        <v>1</v>
      </c>
      <c r="J1731" t="s">
        <v>7419</v>
      </c>
      <c r="K1731" t="s">
        <v>8122</v>
      </c>
      <c r="L1731" t="s">
        <v>93</v>
      </c>
      <c r="N1731">
        <v>691</v>
      </c>
      <c r="P1731" t="s">
        <v>18</v>
      </c>
    </row>
    <row r="1732" spans="1:16" x14ac:dyDescent="0.35">
      <c r="A1732">
        <v>1679081</v>
      </c>
      <c r="B1732" t="s">
        <v>8123</v>
      </c>
      <c r="C1732" t="str">
        <f>"9780124115958"</f>
        <v>9780124115958</v>
      </c>
      <c r="D1732" t="str">
        <f>"9780124116146"</f>
        <v>9780124116146</v>
      </c>
      <c r="E1732" t="s">
        <v>1699</v>
      </c>
      <c r="F1732" t="s">
        <v>1699</v>
      </c>
      <c r="G1732" s="1">
        <v>41816</v>
      </c>
      <c r="H1732" s="1">
        <v>41752</v>
      </c>
      <c r="K1732" t="s">
        <v>8124</v>
      </c>
      <c r="L1732" t="s">
        <v>31</v>
      </c>
      <c r="M1732" t="s">
        <v>8125</v>
      </c>
      <c r="N1732">
        <v>363.74</v>
      </c>
      <c r="O1732" t="s">
        <v>8126</v>
      </c>
      <c r="P1732" t="s">
        <v>18</v>
      </c>
    </row>
    <row r="1733" spans="1:16" x14ac:dyDescent="0.35">
      <c r="A1733">
        <v>1687333</v>
      </c>
      <c r="B1733" t="s">
        <v>8127</v>
      </c>
      <c r="C1733" t="str">
        <f>"9780128008751"</f>
        <v>9780128008751</v>
      </c>
      <c r="D1733" t="str">
        <f>"9780128010877"</f>
        <v>9780128010877</v>
      </c>
      <c r="E1733" t="s">
        <v>190</v>
      </c>
      <c r="F1733" t="s">
        <v>191</v>
      </c>
      <c r="G1733" s="1">
        <v>41816</v>
      </c>
      <c r="H1733" s="1">
        <v>41771</v>
      </c>
      <c r="K1733" t="s">
        <v>8128</v>
      </c>
      <c r="L1733" t="s">
        <v>168</v>
      </c>
      <c r="M1733" t="s">
        <v>8129</v>
      </c>
      <c r="N1733" t="s">
        <v>8130</v>
      </c>
      <c r="O1733" t="s">
        <v>8131</v>
      </c>
      <c r="P1733" t="s">
        <v>18</v>
      </c>
    </row>
    <row r="1734" spans="1:16" x14ac:dyDescent="0.35">
      <c r="A1734">
        <v>1713965</v>
      </c>
      <c r="B1734" t="s">
        <v>8132</v>
      </c>
      <c r="C1734" t="str">
        <f>"9780124046160"</f>
        <v>9780124046160</v>
      </c>
      <c r="D1734" t="str">
        <f>"9780124046917"</f>
        <v>9780124046917</v>
      </c>
      <c r="E1734" t="s">
        <v>190</v>
      </c>
      <c r="F1734" t="s">
        <v>191</v>
      </c>
      <c r="G1734" s="1">
        <v>41816</v>
      </c>
      <c r="H1734" s="1">
        <v>41808</v>
      </c>
      <c r="K1734" t="s">
        <v>8133</v>
      </c>
      <c r="L1734" t="s">
        <v>28</v>
      </c>
      <c r="M1734" t="s">
        <v>8134</v>
      </c>
      <c r="N1734">
        <v>388.04</v>
      </c>
      <c r="O1734" t="s">
        <v>8135</v>
      </c>
      <c r="P1734" t="s">
        <v>18</v>
      </c>
    </row>
    <row r="1735" spans="1:16" x14ac:dyDescent="0.35">
      <c r="A1735">
        <v>1691262</v>
      </c>
      <c r="B1735" t="s">
        <v>8136</v>
      </c>
      <c r="C1735" t="str">
        <f>"9780124116450"</f>
        <v>9780124116450</v>
      </c>
      <c r="D1735" t="str">
        <f>"9780124165762"</f>
        <v>9780124165762</v>
      </c>
      <c r="E1735" t="s">
        <v>1699</v>
      </c>
      <c r="F1735" t="s">
        <v>1699</v>
      </c>
      <c r="G1735" s="1">
        <v>41807</v>
      </c>
      <c r="H1735" s="1">
        <v>41775</v>
      </c>
      <c r="K1735" t="s">
        <v>8137</v>
      </c>
      <c r="L1735" t="s">
        <v>113</v>
      </c>
      <c r="M1735" t="s">
        <v>8138</v>
      </c>
      <c r="N1735" t="s">
        <v>6349</v>
      </c>
      <c r="O1735" t="s">
        <v>8139</v>
      </c>
      <c r="P1735" t="s">
        <v>18</v>
      </c>
    </row>
    <row r="1736" spans="1:16" x14ac:dyDescent="0.35">
      <c r="A1736">
        <v>5021047</v>
      </c>
      <c r="B1736" t="s">
        <v>8140</v>
      </c>
      <c r="C1736" t="str">
        <f>"9783954047338"</f>
        <v>9783954047338</v>
      </c>
      <c r="D1736" t="str">
        <f>"9783736947337"</f>
        <v>9783736947337</v>
      </c>
      <c r="E1736" t="s">
        <v>2357</v>
      </c>
      <c r="F1736" t="s">
        <v>2357</v>
      </c>
      <c r="G1736" s="1">
        <v>41806</v>
      </c>
      <c r="H1736" s="1">
        <v>42983</v>
      </c>
      <c r="I1736">
        <v>1</v>
      </c>
      <c r="K1736" t="s">
        <v>8141</v>
      </c>
      <c r="L1736" t="s">
        <v>168</v>
      </c>
      <c r="M1736" t="s">
        <v>8142</v>
      </c>
      <c r="N1736">
        <v>636.50820999999905</v>
      </c>
      <c r="O1736" t="s">
        <v>8143</v>
      </c>
      <c r="P1736" t="s">
        <v>315</v>
      </c>
    </row>
    <row r="1737" spans="1:16" x14ac:dyDescent="0.35">
      <c r="A1737">
        <v>1695952</v>
      </c>
      <c r="B1737" t="s">
        <v>8144</v>
      </c>
      <c r="C1737" t="str">
        <f>"9781780644158"</f>
        <v>9781780644158</v>
      </c>
      <c r="D1737" t="str">
        <f>"9781780644165"</f>
        <v>9781780644165</v>
      </c>
      <c r="E1737" t="s">
        <v>333</v>
      </c>
      <c r="F1737" t="s">
        <v>333</v>
      </c>
      <c r="G1737" s="1">
        <v>41803</v>
      </c>
      <c r="H1737" s="1">
        <v>41785</v>
      </c>
      <c r="I1737">
        <v>2</v>
      </c>
      <c r="K1737" t="s">
        <v>8145</v>
      </c>
      <c r="L1737" t="s">
        <v>168</v>
      </c>
      <c r="M1737" t="s">
        <v>8146</v>
      </c>
      <c r="N1737">
        <v>632.62570000000005</v>
      </c>
      <c r="O1737" t="s">
        <v>8147</v>
      </c>
      <c r="P1737" t="s">
        <v>18</v>
      </c>
    </row>
    <row r="1738" spans="1:16" x14ac:dyDescent="0.35">
      <c r="A1738">
        <v>1910743</v>
      </c>
      <c r="B1738" t="s">
        <v>8148</v>
      </c>
      <c r="C1738" t="str">
        <f>"9783038350460"</f>
        <v>9783038350460</v>
      </c>
      <c r="D1738" t="str">
        <f>"9783038264279"</f>
        <v>9783038264279</v>
      </c>
      <c r="E1738" t="s">
        <v>1649</v>
      </c>
      <c r="F1738" t="s">
        <v>1649</v>
      </c>
      <c r="G1738" s="1">
        <v>41785</v>
      </c>
      <c r="H1738" s="1">
        <v>42002</v>
      </c>
      <c r="I1738">
        <v>1</v>
      </c>
      <c r="J1738" t="s">
        <v>7419</v>
      </c>
      <c r="K1738" t="s">
        <v>8149</v>
      </c>
      <c r="L1738" t="s">
        <v>28</v>
      </c>
      <c r="M1738" t="s">
        <v>8150</v>
      </c>
      <c r="P1738" t="s">
        <v>18</v>
      </c>
    </row>
    <row r="1739" spans="1:16" x14ac:dyDescent="0.35">
      <c r="A1739">
        <v>1910737</v>
      </c>
      <c r="B1739" t="s">
        <v>8151</v>
      </c>
      <c r="C1739" t="str">
        <f>"9783038350408"</f>
        <v>9783038350408</v>
      </c>
      <c r="D1739" t="str">
        <f>"9783038264217"</f>
        <v>9783038264217</v>
      </c>
      <c r="E1739" t="s">
        <v>1649</v>
      </c>
      <c r="F1739" t="s">
        <v>1649</v>
      </c>
      <c r="G1739" s="1">
        <v>41781</v>
      </c>
      <c r="H1739" s="1">
        <v>42002</v>
      </c>
      <c r="I1739">
        <v>1</v>
      </c>
      <c r="J1739" t="s">
        <v>7419</v>
      </c>
      <c r="K1739" t="s">
        <v>8152</v>
      </c>
      <c r="L1739" t="s">
        <v>7259</v>
      </c>
      <c r="P1739" t="s">
        <v>18</v>
      </c>
    </row>
    <row r="1740" spans="1:16" x14ac:dyDescent="0.35">
      <c r="A1740">
        <v>1910719</v>
      </c>
      <c r="B1740" t="s">
        <v>8153</v>
      </c>
      <c r="C1740" t="str">
        <f>"9783038350224"</f>
        <v>9783038350224</v>
      </c>
      <c r="D1740" t="str">
        <f>"9783038264033"</f>
        <v>9783038264033</v>
      </c>
      <c r="E1740" t="s">
        <v>1649</v>
      </c>
      <c r="F1740" t="s">
        <v>1649</v>
      </c>
      <c r="G1740" s="1">
        <v>41771</v>
      </c>
      <c r="H1740" s="1">
        <v>42002</v>
      </c>
      <c r="I1740">
        <v>1</v>
      </c>
      <c r="J1740" t="s">
        <v>4195</v>
      </c>
      <c r="K1740" t="s">
        <v>8154</v>
      </c>
      <c r="L1740" t="s">
        <v>5185</v>
      </c>
      <c r="P1740" t="s">
        <v>18</v>
      </c>
    </row>
    <row r="1741" spans="1:16" x14ac:dyDescent="0.35">
      <c r="A1741">
        <v>1633792</v>
      </c>
      <c r="B1741" t="s">
        <v>8155</v>
      </c>
      <c r="C1741" t="str">
        <f>"9780123979148"</f>
        <v>9780123979148</v>
      </c>
      <c r="D1741" t="str">
        <f>"9780123979292"</f>
        <v>9780123979292</v>
      </c>
      <c r="E1741" t="s">
        <v>190</v>
      </c>
      <c r="F1741" t="s">
        <v>282</v>
      </c>
      <c r="G1741" s="1">
        <v>41759</v>
      </c>
      <c r="H1741" s="1">
        <v>41684</v>
      </c>
      <c r="K1741" t="s">
        <v>6113</v>
      </c>
      <c r="L1741" t="s">
        <v>41</v>
      </c>
      <c r="M1741" t="s">
        <v>8156</v>
      </c>
      <c r="N1741" t="s">
        <v>128</v>
      </c>
      <c r="O1741" t="s">
        <v>8157</v>
      </c>
      <c r="P1741" t="s">
        <v>18</v>
      </c>
    </row>
    <row r="1742" spans="1:16" x14ac:dyDescent="0.35">
      <c r="A1742">
        <v>5019325</v>
      </c>
      <c r="B1742" t="s">
        <v>8158</v>
      </c>
      <c r="C1742" t="str">
        <f>"9783954047055"</f>
        <v>9783954047055</v>
      </c>
      <c r="D1742" t="str">
        <f>"9783736947054"</f>
        <v>9783736947054</v>
      </c>
      <c r="E1742" t="s">
        <v>2357</v>
      </c>
      <c r="F1742" t="s">
        <v>2357</v>
      </c>
      <c r="G1742" s="1">
        <v>41759</v>
      </c>
      <c r="H1742" s="1">
        <v>42983</v>
      </c>
      <c r="I1742">
        <v>1</v>
      </c>
      <c r="K1742" t="s">
        <v>8159</v>
      </c>
      <c r="L1742" t="s">
        <v>168</v>
      </c>
      <c r="M1742" t="s">
        <v>8160</v>
      </c>
      <c r="N1742">
        <v>634.9</v>
      </c>
      <c r="O1742" t="s">
        <v>344</v>
      </c>
      <c r="P1742" t="s">
        <v>18</v>
      </c>
    </row>
    <row r="1743" spans="1:16" x14ac:dyDescent="0.35">
      <c r="A1743">
        <v>1633794</v>
      </c>
      <c r="B1743" t="s">
        <v>8161</v>
      </c>
      <c r="C1743" t="str">
        <f>"9780080993690"</f>
        <v>9780080993690</v>
      </c>
      <c r="D1743" t="str">
        <f>"9780124045910"</f>
        <v>9780124045910</v>
      </c>
      <c r="E1743" t="s">
        <v>190</v>
      </c>
      <c r="F1743" t="s">
        <v>191</v>
      </c>
      <c r="G1743" s="1">
        <v>41736</v>
      </c>
      <c r="H1743" s="1">
        <v>41740</v>
      </c>
      <c r="K1743" t="s">
        <v>8162</v>
      </c>
      <c r="L1743" t="s">
        <v>171</v>
      </c>
      <c r="M1743" t="s">
        <v>8163</v>
      </c>
      <c r="N1743" t="s">
        <v>8164</v>
      </c>
      <c r="O1743" t="s">
        <v>8165</v>
      </c>
      <c r="P1743" t="s">
        <v>18</v>
      </c>
    </row>
    <row r="1744" spans="1:16" x14ac:dyDescent="0.35">
      <c r="A1744">
        <v>1752787</v>
      </c>
      <c r="B1744" t="s">
        <v>8166</v>
      </c>
      <c r="C1744" t="str">
        <f>"9781783504954"</f>
        <v>9781783504954</v>
      </c>
      <c r="D1744" t="str">
        <f>"9781783504961"</f>
        <v>9781783504961</v>
      </c>
      <c r="E1744" t="s">
        <v>187</v>
      </c>
      <c r="F1744" t="s">
        <v>188</v>
      </c>
      <c r="G1744" s="1">
        <v>41732</v>
      </c>
      <c r="H1744" s="1">
        <v>41846</v>
      </c>
      <c r="J1744" t="s">
        <v>8167</v>
      </c>
      <c r="K1744" t="s">
        <v>8168</v>
      </c>
      <c r="L1744" t="s">
        <v>283</v>
      </c>
      <c r="M1744" t="s">
        <v>8169</v>
      </c>
      <c r="N1744">
        <v>363.7</v>
      </c>
      <c r="O1744" t="s">
        <v>8170</v>
      </c>
      <c r="P1744" t="s">
        <v>18</v>
      </c>
    </row>
    <row r="1745" spans="1:16" x14ac:dyDescent="0.35">
      <c r="A1745">
        <v>3312928</v>
      </c>
      <c r="B1745" t="s">
        <v>8171</v>
      </c>
      <c r="C1745" t="str">
        <f>"9781466658561"</f>
        <v>9781466658561</v>
      </c>
      <c r="D1745" t="str">
        <f>"9781466658578"</f>
        <v>9781466658578</v>
      </c>
      <c r="E1745" t="s">
        <v>138</v>
      </c>
      <c r="F1745" t="s">
        <v>138</v>
      </c>
      <c r="G1745" s="1">
        <v>41729</v>
      </c>
      <c r="H1745" s="1">
        <v>41723</v>
      </c>
      <c r="J1745" t="s">
        <v>8172</v>
      </c>
      <c r="K1745" t="s">
        <v>8173</v>
      </c>
      <c r="L1745" t="s">
        <v>41</v>
      </c>
      <c r="M1745" t="s">
        <v>8174</v>
      </c>
      <c r="N1745" t="s">
        <v>8175</v>
      </c>
      <c r="O1745" t="s">
        <v>8176</v>
      </c>
      <c r="P1745" t="s">
        <v>18</v>
      </c>
    </row>
    <row r="1746" spans="1:16" x14ac:dyDescent="0.35">
      <c r="A1746">
        <v>1690927</v>
      </c>
      <c r="B1746" t="s">
        <v>8177</v>
      </c>
      <c r="C1746" t="str">
        <f>"9781440801198"</f>
        <v>9781440801198</v>
      </c>
      <c r="D1746" t="str">
        <f>"9781440801204"</f>
        <v>9781440801204</v>
      </c>
      <c r="E1746" t="s">
        <v>440</v>
      </c>
      <c r="F1746" t="s">
        <v>6811</v>
      </c>
      <c r="G1746" s="1">
        <v>41726</v>
      </c>
      <c r="H1746" s="1">
        <v>41773</v>
      </c>
      <c r="K1746" t="s">
        <v>8178</v>
      </c>
      <c r="L1746" t="s">
        <v>66</v>
      </c>
      <c r="M1746" t="s">
        <v>8179</v>
      </c>
      <c r="N1746">
        <v>333.70299999999997</v>
      </c>
      <c r="O1746" t="s">
        <v>8180</v>
      </c>
      <c r="P1746" t="s">
        <v>18</v>
      </c>
    </row>
    <row r="1747" spans="1:16" x14ac:dyDescent="0.35">
      <c r="A1747">
        <v>1645694</v>
      </c>
      <c r="B1747" t="s">
        <v>8181</v>
      </c>
      <c r="C1747" t="str">
        <f>"9781780640426"</f>
        <v>9781780640426</v>
      </c>
      <c r="D1747" t="str">
        <f>"9781780643724"</f>
        <v>9781780643724</v>
      </c>
      <c r="E1747" t="s">
        <v>333</v>
      </c>
      <c r="F1747" t="s">
        <v>333</v>
      </c>
      <c r="G1747" s="1">
        <v>41712</v>
      </c>
      <c r="H1747" s="1">
        <v>41705</v>
      </c>
      <c r="K1747" t="s">
        <v>8182</v>
      </c>
      <c r="L1747" t="s">
        <v>168</v>
      </c>
      <c r="M1747" t="s">
        <v>8183</v>
      </c>
      <c r="N1747">
        <v>631.5</v>
      </c>
      <c r="O1747" t="s">
        <v>8184</v>
      </c>
      <c r="P1747" t="s">
        <v>18</v>
      </c>
    </row>
    <row r="1748" spans="1:16" x14ac:dyDescent="0.35">
      <c r="A1748">
        <v>5020651</v>
      </c>
      <c r="B1748" t="s">
        <v>8185</v>
      </c>
      <c r="C1748" t="str">
        <f>"9783954046683"</f>
        <v>9783954046683</v>
      </c>
      <c r="D1748" t="str">
        <f>"9783736946682"</f>
        <v>9783736946682</v>
      </c>
      <c r="E1748" t="s">
        <v>2357</v>
      </c>
      <c r="F1748" t="s">
        <v>2357</v>
      </c>
      <c r="G1748" s="1">
        <v>41711</v>
      </c>
      <c r="H1748" s="1">
        <v>42983</v>
      </c>
      <c r="I1748">
        <v>1</v>
      </c>
      <c r="K1748" t="s">
        <v>8186</v>
      </c>
      <c r="L1748" t="s">
        <v>32</v>
      </c>
      <c r="M1748" t="s">
        <v>8187</v>
      </c>
      <c r="N1748" t="s">
        <v>511</v>
      </c>
      <c r="O1748" t="s">
        <v>8188</v>
      </c>
      <c r="P1748" t="s">
        <v>18</v>
      </c>
    </row>
    <row r="1749" spans="1:16" x14ac:dyDescent="0.35">
      <c r="A1749">
        <v>1658026</v>
      </c>
      <c r="B1749" t="s">
        <v>8189</v>
      </c>
      <c r="C1749" t="str">
        <f>"9783631619568"</f>
        <v>9783631619568</v>
      </c>
      <c r="D1749" t="str">
        <f>"9783653045383"</f>
        <v>9783653045383</v>
      </c>
      <c r="E1749" t="s">
        <v>2432</v>
      </c>
      <c r="F1749" t="s">
        <v>2432</v>
      </c>
      <c r="G1749" s="1">
        <v>41710</v>
      </c>
      <c r="H1749" s="1">
        <v>41723</v>
      </c>
      <c r="I1749">
        <v>1</v>
      </c>
      <c r="J1749" t="s">
        <v>7950</v>
      </c>
      <c r="K1749" t="s">
        <v>8190</v>
      </c>
      <c r="L1749" t="s">
        <v>105</v>
      </c>
      <c r="M1749" t="s">
        <v>8191</v>
      </c>
      <c r="N1749">
        <v>363.7</v>
      </c>
      <c r="O1749" t="s">
        <v>8192</v>
      </c>
      <c r="P1749" t="s">
        <v>18</v>
      </c>
    </row>
    <row r="1750" spans="1:16" x14ac:dyDescent="0.35">
      <c r="A1750">
        <v>1910676</v>
      </c>
      <c r="B1750" t="s">
        <v>8193</v>
      </c>
      <c r="C1750" t="str">
        <f>"9783037859759"</f>
        <v>9783037859759</v>
      </c>
      <c r="D1750" t="str">
        <f>"9783038263562"</f>
        <v>9783038263562</v>
      </c>
      <c r="E1750" t="s">
        <v>1649</v>
      </c>
      <c r="F1750" t="s">
        <v>1649</v>
      </c>
      <c r="G1750" s="1">
        <v>41710</v>
      </c>
      <c r="H1750" s="1">
        <v>42001</v>
      </c>
      <c r="I1750">
        <v>1</v>
      </c>
      <c r="J1750" t="s">
        <v>7419</v>
      </c>
      <c r="K1750" t="s">
        <v>8194</v>
      </c>
      <c r="L1750" t="s">
        <v>28</v>
      </c>
      <c r="M1750" t="s">
        <v>8195</v>
      </c>
      <c r="P1750" t="s">
        <v>18</v>
      </c>
    </row>
    <row r="1751" spans="1:16" x14ac:dyDescent="0.35">
      <c r="A1751">
        <v>1651799</v>
      </c>
      <c r="B1751" t="s">
        <v>4863</v>
      </c>
      <c r="C1751" t="str">
        <f>"9781782421047"</f>
        <v>9781782421047</v>
      </c>
      <c r="D1751" t="str">
        <f>"9781782421122"</f>
        <v>9781782421122</v>
      </c>
      <c r="E1751" t="s">
        <v>190</v>
      </c>
      <c r="F1751" t="s">
        <v>280</v>
      </c>
      <c r="G1751" s="1">
        <v>41705</v>
      </c>
      <c r="H1751" s="1">
        <v>41712</v>
      </c>
      <c r="J1751" t="s">
        <v>2510</v>
      </c>
      <c r="K1751" t="s">
        <v>3328</v>
      </c>
      <c r="L1751" t="s">
        <v>163</v>
      </c>
      <c r="M1751" t="s">
        <v>8196</v>
      </c>
      <c r="N1751">
        <v>363.73099999999999</v>
      </c>
      <c r="O1751" t="s">
        <v>8197</v>
      </c>
      <c r="P1751" t="s">
        <v>18</v>
      </c>
    </row>
    <row r="1752" spans="1:16" x14ac:dyDescent="0.35">
      <c r="A1752">
        <v>1651847</v>
      </c>
      <c r="B1752" t="s">
        <v>8198</v>
      </c>
      <c r="C1752" t="str">
        <f>"9789004263406"</f>
        <v>9789004263406</v>
      </c>
      <c r="D1752" t="str">
        <f>"9789004264410"</f>
        <v>9789004264410</v>
      </c>
      <c r="E1752" t="s">
        <v>228</v>
      </c>
      <c r="F1752" t="s">
        <v>228</v>
      </c>
      <c r="G1752" s="1">
        <v>41705</v>
      </c>
      <c r="H1752" s="1">
        <v>41712</v>
      </c>
      <c r="I1752">
        <v>1</v>
      </c>
      <c r="J1752" t="s">
        <v>8199</v>
      </c>
      <c r="K1752" t="s">
        <v>8200</v>
      </c>
      <c r="L1752" t="s">
        <v>37</v>
      </c>
      <c r="P1752" t="s">
        <v>18</v>
      </c>
    </row>
    <row r="1753" spans="1:16" x14ac:dyDescent="0.35">
      <c r="A1753">
        <v>3313009</v>
      </c>
      <c r="B1753" t="s">
        <v>8201</v>
      </c>
      <c r="C1753" t="str">
        <f>"9781466651661"</f>
        <v>9781466651661</v>
      </c>
      <c r="D1753" t="str">
        <f>"9781466651678"</f>
        <v>9781466651678</v>
      </c>
      <c r="E1753" t="s">
        <v>138</v>
      </c>
      <c r="F1753" t="s">
        <v>138</v>
      </c>
      <c r="G1753" s="1">
        <v>41698</v>
      </c>
      <c r="H1753" s="1">
        <v>41820</v>
      </c>
      <c r="J1753" t="s">
        <v>7377</v>
      </c>
      <c r="K1753" t="s">
        <v>8202</v>
      </c>
      <c r="L1753" t="s">
        <v>26</v>
      </c>
      <c r="M1753" t="s">
        <v>8203</v>
      </c>
      <c r="N1753">
        <v>338.92709172399998</v>
      </c>
      <c r="O1753" t="s">
        <v>8204</v>
      </c>
      <c r="P1753" t="s">
        <v>18</v>
      </c>
    </row>
    <row r="1754" spans="1:16" x14ac:dyDescent="0.35">
      <c r="A1754">
        <v>1910494</v>
      </c>
      <c r="B1754" t="s">
        <v>8205</v>
      </c>
      <c r="C1754" t="str">
        <f>"9783037859339"</f>
        <v>9783037859339</v>
      </c>
      <c r="D1754" t="str">
        <f>"9783038263142"</f>
        <v>9783038263142</v>
      </c>
      <c r="E1754" t="s">
        <v>1649</v>
      </c>
      <c r="F1754" t="s">
        <v>1649</v>
      </c>
      <c r="G1754" s="1">
        <v>41683</v>
      </c>
      <c r="H1754" s="1">
        <v>42001</v>
      </c>
      <c r="I1754">
        <v>1</v>
      </c>
      <c r="J1754" t="s">
        <v>4195</v>
      </c>
      <c r="K1754" t="s">
        <v>8206</v>
      </c>
      <c r="L1754" t="s">
        <v>28</v>
      </c>
      <c r="M1754" t="s">
        <v>8207</v>
      </c>
      <c r="P1754" t="s">
        <v>18</v>
      </c>
    </row>
    <row r="1755" spans="1:16" x14ac:dyDescent="0.35">
      <c r="A1755">
        <v>1632520</v>
      </c>
      <c r="B1755" t="s">
        <v>8208</v>
      </c>
      <c r="C1755" t="str">
        <f>"9783034314732"</f>
        <v>9783034314732</v>
      </c>
      <c r="D1755" t="str">
        <f>"9783035202458"</f>
        <v>9783035202458</v>
      </c>
      <c r="E1755" t="s">
        <v>2432</v>
      </c>
      <c r="F1755" t="s">
        <v>7333</v>
      </c>
      <c r="G1755" s="1">
        <v>41681</v>
      </c>
      <c r="H1755" s="1">
        <v>41683</v>
      </c>
      <c r="I1755">
        <v>1</v>
      </c>
      <c r="J1755" t="s">
        <v>8209</v>
      </c>
      <c r="K1755" t="s">
        <v>8210</v>
      </c>
      <c r="L1755" t="s">
        <v>35</v>
      </c>
      <c r="M1755" t="s">
        <v>8211</v>
      </c>
      <c r="N1755">
        <v>418.02</v>
      </c>
      <c r="O1755" t="s">
        <v>8212</v>
      </c>
      <c r="P1755" t="s">
        <v>18</v>
      </c>
    </row>
    <row r="1756" spans="1:16" x14ac:dyDescent="0.35">
      <c r="A1756">
        <v>1637202</v>
      </c>
      <c r="B1756" t="s">
        <v>8213</v>
      </c>
      <c r="C1756" t="str">
        <f>"9781780642598"</f>
        <v>9781780642598</v>
      </c>
      <c r="D1756" t="str">
        <f>"9781780642604"</f>
        <v>9781780642604</v>
      </c>
      <c r="E1756" t="s">
        <v>333</v>
      </c>
      <c r="F1756" t="s">
        <v>333</v>
      </c>
      <c r="G1756" s="1">
        <v>41676</v>
      </c>
      <c r="H1756" s="1">
        <v>41690</v>
      </c>
      <c r="K1756" t="s">
        <v>8214</v>
      </c>
      <c r="L1756" t="s">
        <v>168</v>
      </c>
      <c r="M1756" t="s">
        <v>8215</v>
      </c>
      <c r="N1756" t="s">
        <v>5806</v>
      </c>
      <c r="O1756" t="s">
        <v>8216</v>
      </c>
      <c r="P1756" t="s">
        <v>18</v>
      </c>
    </row>
    <row r="1757" spans="1:16" x14ac:dyDescent="0.35">
      <c r="A1757">
        <v>1658948</v>
      </c>
      <c r="B1757" t="s">
        <v>8217</v>
      </c>
      <c r="C1757" t="str">
        <f>"9783161528613"</f>
        <v>9783161528613</v>
      </c>
      <c r="D1757" t="str">
        <f>"9783161528750"</f>
        <v>9783161528750</v>
      </c>
      <c r="E1757" t="s">
        <v>4379</v>
      </c>
      <c r="F1757" t="s">
        <v>4379</v>
      </c>
      <c r="G1757" s="1">
        <v>41671</v>
      </c>
      <c r="H1757" s="1">
        <v>41729</v>
      </c>
      <c r="I1757">
        <v>1</v>
      </c>
      <c r="J1757" t="s">
        <v>8218</v>
      </c>
      <c r="K1757" t="s">
        <v>8219</v>
      </c>
      <c r="L1757" t="s">
        <v>23</v>
      </c>
      <c r="M1757" t="s">
        <v>8220</v>
      </c>
      <c r="N1757">
        <v>344.04599999999999</v>
      </c>
      <c r="O1757" t="s">
        <v>8221</v>
      </c>
      <c r="P1757" t="s">
        <v>315</v>
      </c>
    </row>
    <row r="1758" spans="1:16" x14ac:dyDescent="0.35">
      <c r="A1758">
        <v>3312908</v>
      </c>
      <c r="B1758" t="s">
        <v>8222</v>
      </c>
      <c r="C1758" t="str">
        <f>"9781466649958"</f>
        <v>9781466649958</v>
      </c>
      <c r="D1758" t="str">
        <f>"9781466649965"</f>
        <v>9781466649965</v>
      </c>
      <c r="E1758" t="s">
        <v>7189</v>
      </c>
      <c r="F1758" t="s">
        <v>7189</v>
      </c>
      <c r="G1758" s="1">
        <v>41670</v>
      </c>
      <c r="H1758" s="1">
        <v>41696</v>
      </c>
      <c r="K1758" t="s">
        <v>8223</v>
      </c>
      <c r="L1758" t="s">
        <v>41</v>
      </c>
      <c r="M1758" t="s">
        <v>8224</v>
      </c>
      <c r="N1758" t="s">
        <v>128</v>
      </c>
      <c r="O1758" t="s">
        <v>2677</v>
      </c>
      <c r="P1758" t="s">
        <v>18</v>
      </c>
    </row>
    <row r="1759" spans="1:16" x14ac:dyDescent="0.35">
      <c r="A1759">
        <v>1632190</v>
      </c>
      <c r="B1759" t="s">
        <v>8225</v>
      </c>
      <c r="C1759" t="str">
        <f>"9783631640623"</f>
        <v>9783631640623</v>
      </c>
      <c r="D1759" t="str">
        <f>"9783653038071"</f>
        <v>9783653038071</v>
      </c>
      <c r="E1759" t="s">
        <v>2432</v>
      </c>
      <c r="F1759" t="s">
        <v>2432</v>
      </c>
      <c r="G1759" s="1">
        <v>41669</v>
      </c>
      <c r="H1759" s="1">
        <v>41683</v>
      </c>
      <c r="I1759">
        <v>1</v>
      </c>
      <c r="J1759" t="s">
        <v>7220</v>
      </c>
      <c r="K1759" t="s">
        <v>8226</v>
      </c>
      <c r="L1759" t="s">
        <v>26</v>
      </c>
      <c r="M1759" t="s">
        <v>8227</v>
      </c>
      <c r="N1759">
        <v>338.94</v>
      </c>
      <c r="O1759" t="s">
        <v>8228</v>
      </c>
      <c r="P1759" t="s">
        <v>18</v>
      </c>
    </row>
    <row r="1760" spans="1:16" x14ac:dyDescent="0.35">
      <c r="A1760">
        <v>1604747</v>
      </c>
      <c r="B1760" t="s">
        <v>8229</v>
      </c>
      <c r="C1760" t="str">
        <f>"9789004262386"</f>
        <v>9789004262386</v>
      </c>
      <c r="D1760" t="str">
        <f>"9789004262393"</f>
        <v>9789004262393</v>
      </c>
      <c r="E1760" t="s">
        <v>228</v>
      </c>
      <c r="F1760" t="s">
        <v>228</v>
      </c>
      <c r="G1760" s="1">
        <v>41656</v>
      </c>
      <c r="H1760" s="1">
        <v>41668</v>
      </c>
      <c r="I1760">
        <v>1</v>
      </c>
      <c r="K1760" t="s">
        <v>8230</v>
      </c>
      <c r="L1760" t="s">
        <v>23</v>
      </c>
      <c r="M1760" t="s">
        <v>8231</v>
      </c>
      <c r="P1760" t="s">
        <v>232</v>
      </c>
    </row>
    <row r="1761" spans="1:16" x14ac:dyDescent="0.35">
      <c r="A1761">
        <v>1910381</v>
      </c>
      <c r="B1761" t="s">
        <v>8232</v>
      </c>
      <c r="C1761" t="str">
        <f>"9783037858196"</f>
        <v>9783037858196</v>
      </c>
      <c r="D1761" t="str">
        <f>"9783038262008"</f>
        <v>9783038262008</v>
      </c>
      <c r="E1761" t="s">
        <v>1649</v>
      </c>
      <c r="F1761" t="s">
        <v>1649</v>
      </c>
      <c r="G1761" s="1">
        <v>41645</v>
      </c>
      <c r="H1761" s="1">
        <v>42001</v>
      </c>
      <c r="I1761">
        <v>1</v>
      </c>
      <c r="J1761" t="s">
        <v>1671</v>
      </c>
      <c r="K1761" t="s">
        <v>8233</v>
      </c>
      <c r="L1761" t="s">
        <v>8234</v>
      </c>
      <c r="M1761" t="s">
        <v>8235</v>
      </c>
      <c r="N1761">
        <v>620.00419999999997</v>
      </c>
      <c r="P1761" t="s">
        <v>18</v>
      </c>
    </row>
    <row r="1762" spans="1:16" x14ac:dyDescent="0.35">
      <c r="A1762">
        <v>1630887</v>
      </c>
      <c r="B1762" t="s">
        <v>8236</v>
      </c>
      <c r="C1762" t="str">
        <f>"9783161531668"</f>
        <v>9783161531668</v>
      </c>
      <c r="D1762" t="str">
        <f>"9783161531675"</f>
        <v>9783161531675</v>
      </c>
      <c r="E1762" t="s">
        <v>4379</v>
      </c>
      <c r="F1762" t="s">
        <v>4379</v>
      </c>
      <c r="G1762" s="1">
        <v>41640</v>
      </c>
      <c r="H1762" s="1">
        <v>41682</v>
      </c>
      <c r="I1762">
        <v>1</v>
      </c>
      <c r="J1762" t="s">
        <v>4752</v>
      </c>
      <c r="K1762" t="s">
        <v>8237</v>
      </c>
      <c r="L1762" t="s">
        <v>361</v>
      </c>
      <c r="M1762" t="s">
        <v>8238</v>
      </c>
      <c r="N1762">
        <v>551.6</v>
      </c>
      <c r="O1762" t="s">
        <v>8239</v>
      </c>
      <c r="P1762" t="s">
        <v>315</v>
      </c>
    </row>
    <row r="1763" spans="1:16" x14ac:dyDescent="0.35">
      <c r="A1763">
        <v>1973871</v>
      </c>
      <c r="B1763" t="s">
        <v>8240</v>
      </c>
      <c r="C1763" t="str">
        <f>"9789462098534"</f>
        <v>9789462098534</v>
      </c>
      <c r="D1763" t="str">
        <f>"9789462098541"</f>
        <v>9789462098541</v>
      </c>
      <c r="E1763" t="s">
        <v>228</v>
      </c>
      <c r="F1763" t="s">
        <v>549</v>
      </c>
      <c r="G1763" s="1">
        <v>41640</v>
      </c>
      <c r="H1763" s="1">
        <v>42116</v>
      </c>
      <c r="I1763">
        <v>1</v>
      </c>
      <c r="J1763" t="s">
        <v>552</v>
      </c>
      <c r="K1763" t="s">
        <v>8241</v>
      </c>
      <c r="L1763" t="s">
        <v>30</v>
      </c>
      <c r="M1763" t="s">
        <v>6974</v>
      </c>
      <c r="N1763">
        <v>370</v>
      </c>
      <c r="O1763" t="s">
        <v>8242</v>
      </c>
      <c r="P1763" t="s">
        <v>18</v>
      </c>
    </row>
    <row r="1764" spans="1:16" x14ac:dyDescent="0.35">
      <c r="A1764">
        <v>3034959</v>
      </c>
      <c r="B1764" t="s">
        <v>8243</v>
      </c>
      <c r="C1764" t="str">
        <f>"9789462095403"</f>
        <v>9789462095403</v>
      </c>
      <c r="D1764" t="str">
        <f>"9789462095427"</f>
        <v>9789462095427</v>
      </c>
      <c r="E1764" t="s">
        <v>228</v>
      </c>
      <c r="F1764" t="s">
        <v>549</v>
      </c>
      <c r="G1764" s="1">
        <v>41640</v>
      </c>
      <c r="H1764" s="1">
        <v>41774</v>
      </c>
      <c r="I1764">
        <v>1</v>
      </c>
      <c r="J1764" t="s">
        <v>8244</v>
      </c>
      <c r="K1764" t="s">
        <v>8245</v>
      </c>
      <c r="L1764" t="s">
        <v>259</v>
      </c>
      <c r="M1764" t="s">
        <v>6974</v>
      </c>
      <c r="N1764">
        <v>507.12</v>
      </c>
      <c r="O1764" t="s">
        <v>8246</v>
      </c>
      <c r="P1764" t="s">
        <v>18</v>
      </c>
    </row>
    <row r="1765" spans="1:16" x14ac:dyDescent="0.35">
      <c r="A1765">
        <v>3312855</v>
      </c>
      <c r="B1765" t="s">
        <v>8247</v>
      </c>
      <c r="C1765" t="str">
        <f>"9781466648524"</f>
        <v>9781466648524</v>
      </c>
      <c r="D1765" t="str">
        <f>"9781466648531"</f>
        <v>9781466648531</v>
      </c>
      <c r="E1765" t="s">
        <v>138</v>
      </c>
      <c r="F1765" t="s">
        <v>138</v>
      </c>
      <c r="G1765" s="1">
        <v>41639</v>
      </c>
      <c r="H1765" s="1">
        <v>41614</v>
      </c>
      <c r="K1765" t="s">
        <v>231</v>
      </c>
      <c r="L1765" t="s">
        <v>41</v>
      </c>
      <c r="M1765" t="s">
        <v>8248</v>
      </c>
      <c r="N1765" t="s">
        <v>128</v>
      </c>
      <c r="O1765" t="s">
        <v>8249</v>
      </c>
      <c r="P1765" t="s">
        <v>18</v>
      </c>
    </row>
    <row r="1766" spans="1:16" x14ac:dyDescent="0.35">
      <c r="A1766">
        <v>1910440</v>
      </c>
      <c r="B1766" t="s">
        <v>8250</v>
      </c>
      <c r="C1766" t="str">
        <f>"9783037858820"</f>
        <v>9783037858820</v>
      </c>
      <c r="D1766" t="str">
        <f>"9783038262633"</f>
        <v>9783038262633</v>
      </c>
      <c r="E1766" t="s">
        <v>1649</v>
      </c>
      <c r="F1766" t="s">
        <v>1649</v>
      </c>
      <c r="G1766" s="1">
        <v>41627</v>
      </c>
      <c r="H1766" s="1">
        <v>42001</v>
      </c>
      <c r="I1766">
        <v>1</v>
      </c>
      <c r="J1766" t="s">
        <v>4195</v>
      </c>
      <c r="K1766" t="s">
        <v>8251</v>
      </c>
      <c r="L1766" t="s">
        <v>5185</v>
      </c>
      <c r="P1766" t="s">
        <v>18</v>
      </c>
    </row>
    <row r="1767" spans="1:16" x14ac:dyDescent="0.35">
      <c r="A1767">
        <v>1629217</v>
      </c>
      <c r="B1767" t="s">
        <v>8252</v>
      </c>
      <c r="C1767" t="str">
        <f>"9781610488280"</f>
        <v>9781610488280</v>
      </c>
      <c r="D1767" t="str">
        <f>"9781610488297"</f>
        <v>9781610488297</v>
      </c>
      <c r="E1767" t="s">
        <v>433</v>
      </c>
      <c r="F1767" t="s">
        <v>433</v>
      </c>
      <c r="G1767" s="1">
        <v>41626</v>
      </c>
      <c r="H1767" s="1">
        <v>41683</v>
      </c>
      <c r="K1767" t="s">
        <v>8253</v>
      </c>
      <c r="L1767" t="s">
        <v>30</v>
      </c>
      <c r="M1767" t="s">
        <v>8254</v>
      </c>
      <c r="N1767">
        <v>370.11700000000002</v>
      </c>
      <c r="O1767" t="s">
        <v>348</v>
      </c>
      <c r="P1767" t="s">
        <v>18</v>
      </c>
    </row>
    <row r="1768" spans="1:16" x14ac:dyDescent="0.35">
      <c r="A1768">
        <v>1910427</v>
      </c>
      <c r="B1768" t="s">
        <v>8255</v>
      </c>
      <c r="C1768" t="str">
        <f>"9783037858677"</f>
        <v>9783037858677</v>
      </c>
      <c r="D1768" t="str">
        <f>"9783038262480"</f>
        <v>9783038262480</v>
      </c>
      <c r="E1768" t="s">
        <v>1649</v>
      </c>
      <c r="F1768" t="s">
        <v>1649</v>
      </c>
      <c r="G1768" s="1">
        <v>41621</v>
      </c>
      <c r="H1768" s="1">
        <v>42001</v>
      </c>
      <c r="I1768">
        <v>1</v>
      </c>
      <c r="J1768" t="s">
        <v>7419</v>
      </c>
      <c r="K1768" t="s">
        <v>8256</v>
      </c>
      <c r="L1768" t="s">
        <v>28</v>
      </c>
      <c r="M1768" t="s">
        <v>8257</v>
      </c>
      <c r="P1768" t="s">
        <v>18</v>
      </c>
    </row>
    <row r="1769" spans="1:16" x14ac:dyDescent="0.35">
      <c r="A1769">
        <v>1635954</v>
      </c>
      <c r="B1769" t="s">
        <v>8258</v>
      </c>
      <c r="C1769" t="str">
        <f>"9780313393532"</f>
        <v>9780313393532</v>
      </c>
      <c r="D1769" t="str">
        <f>"9780313393549"</f>
        <v>9780313393549</v>
      </c>
      <c r="E1769" t="s">
        <v>440</v>
      </c>
      <c r="F1769" t="s">
        <v>441</v>
      </c>
      <c r="G1769" s="1">
        <v>41617</v>
      </c>
      <c r="H1769" s="1">
        <v>41758</v>
      </c>
      <c r="K1769" t="s">
        <v>8259</v>
      </c>
      <c r="L1769" t="s">
        <v>105</v>
      </c>
      <c r="M1769" t="s">
        <v>8260</v>
      </c>
      <c r="N1769">
        <v>363.7</v>
      </c>
      <c r="O1769" t="s">
        <v>8261</v>
      </c>
      <c r="P1769" t="s">
        <v>18</v>
      </c>
    </row>
    <row r="1770" spans="1:16" x14ac:dyDescent="0.35">
      <c r="A1770">
        <v>1910418</v>
      </c>
      <c r="B1770" t="s">
        <v>8262</v>
      </c>
      <c r="C1770" t="str">
        <f>"9783037858585"</f>
        <v>9783037858585</v>
      </c>
      <c r="D1770" t="str">
        <f>"9783038262398"</f>
        <v>9783038262398</v>
      </c>
      <c r="E1770" t="s">
        <v>1649</v>
      </c>
      <c r="F1770" t="s">
        <v>1649</v>
      </c>
      <c r="G1770" s="1">
        <v>41613</v>
      </c>
      <c r="H1770" s="1">
        <v>42001</v>
      </c>
      <c r="I1770">
        <v>1</v>
      </c>
      <c r="J1770" t="s">
        <v>4195</v>
      </c>
      <c r="K1770" t="s">
        <v>8263</v>
      </c>
      <c r="L1770" t="s">
        <v>28</v>
      </c>
      <c r="M1770" t="s">
        <v>8264</v>
      </c>
      <c r="P1770" t="s">
        <v>18</v>
      </c>
    </row>
    <row r="1771" spans="1:16" x14ac:dyDescent="0.35">
      <c r="A1771">
        <v>1632278</v>
      </c>
      <c r="B1771" t="s">
        <v>8265</v>
      </c>
      <c r="C1771" t="str">
        <f>"9783631644232"</f>
        <v>9783631644232</v>
      </c>
      <c r="D1771" t="str">
        <f>"9783653030280"</f>
        <v>9783653030280</v>
      </c>
      <c r="E1771" t="s">
        <v>2432</v>
      </c>
      <c r="F1771" t="s">
        <v>2432</v>
      </c>
      <c r="G1771" s="1">
        <v>41612</v>
      </c>
      <c r="H1771" s="1">
        <v>41683</v>
      </c>
      <c r="I1771">
        <v>1</v>
      </c>
      <c r="J1771" t="s">
        <v>8266</v>
      </c>
      <c r="K1771" t="s">
        <v>8267</v>
      </c>
      <c r="L1771" t="s">
        <v>416</v>
      </c>
      <c r="M1771" t="s">
        <v>8268</v>
      </c>
      <c r="N1771">
        <v>1.0601</v>
      </c>
      <c r="O1771" t="s">
        <v>8269</v>
      </c>
      <c r="P1771" t="s">
        <v>18</v>
      </c>
    </row>
    <row r="1772" spans="1:16" x14ac:dyDescent="0.35">
      <c r="A1772">
        <v>3138805</v>
      </c>
      <c r="B1772" t="s">
        <v>8270</v>
      </c>
      <c r="C1772" t="str">
        <f>""</f>
        <v/>
      </c>
      <c r="D1772" t="str">
        <f>"9789287178350"</f>
        <v>9789287178350</v>
      </c>
      <c r="E1772" t="s">
        <v>542</v>
      </c>
      <c r="F1772" t="s">
        <v>542</v>
      </c>
      <c r="G1772" s="1">
        <v>41609</v>
      </c>
      <c r="H1772" s="1">
        <v>41957</v>
      </c>
      <c r="K1772" t="s">
        <v>542</v>
      </c>
      <c r="L1772" t="s">
        <v>30</v>
      </c>
      <c r="M1772" t="s">
        <v>8271</v>
      </c>
      <c r="N1772">
        <v>370.94</v>
      </c>
      <c r="O1772" t="s">
        <v>8272</v>
      </c>
      <c r="P1772" t="s">
        <v>232</v>
      </c>
    </row>
    <row r="1773" spans="1:16" x14ac:dyDescent="0.35">
      <c r="A1773">
        <v>3138807</v>
      </c>
      <c r="B1773" t="s">
        <v>8273</v>
      </c>
      <c r="C1773" t="str">
        <f>""</f>
        <v/>
      </c>
      <c r="D1773" t="str">
        <f>"9789287179098"</f>
        <v>9789287179098</v>
      </c>
      <c r="E1773" t="s">
        <v>542</v>
      </c>
      <c r="F1773" t="s">
        <v>542</v>
      </c>
      <c r="G1773" s="1">
        <v>41609</v>
      </c>
      <c r="H1773" s="1">
        <v>41957</v>
      </c>
      <c r="K1773" t="s">
        <v>542</v>
      </c>
      <c r="L1773" t="s">
        <v>30</v>
      </c>
      <c r="M1773" t="s">
        <v>8274</v>
      </c>
      <c r="N1773">
        <v>379.15</v>
      </c>
      <c r="O1773" t="s">
        <v>8275</v>
      </c>
      <c r="P1773" t="s">
        <v>315</v>
      </c>
    </row>
    <row r="1774" spans="1:16" x14ac:dyDescent="0.35">
      <c r="A1774">
        <v>3312895</v>
      </c>
      <c r="B1774" t="s">
        <v>8276</v>
      </c>
      <c r="C1774" t="str">
        <f>"9781466647534"</f>
        <v>9781466647534</v>
      </c>
      <c r="D1774" t="str">
        <f>"9781466647541"</f>
        <v>9781466647541</v>
      </c>
      <c r="E1774" t="s">
        <v>138</v>
      </c>
      <c r="F1774" t="s">
        <v>138</v>
      </c>
      <c r="G1774" s="1">
        <v>41608</v>
      </c>
      <c r="H1774" s="1">
        <v>41674</v>
      </c>
      <c r="J1774" t="s">
        <v>7343</v>
      </c>
      <c r="K1774" t="s">
        <v>7864</v>
      </c>
      <c r="L1774" t="s">
        <v>28</v>
      </c>
      <c r="M1774" t="s">
        <v>8277</v>
      </c>
      <c r="N1774" t="s">
        <v>369</v>
      </c>
      <c r="O1774" t="s">
        <v>8278</v>
      </c>
      <c r="P1774" t="s">
        <v>18</v>
      </c>
    </row>
    <row r="1775" spans="1:16" x14ac:dyDescent="0.35">
      <c r="A1775">
        <v>1910374</v>
      </c>
      <c r="B1775" t="s">
        <v>8279</v>
      </c>
      <c r="C1775" t="str">
        <f>"9783037858110"</f>
        <v>9783037858110</v>
      </c>
      <c r="D1775" t="str">
        <f>"9783038261926"</f>
        <v>9783038261926</v>
      </c>
      <c r="E1775" t="s">
        <v>1649</v>
      </c>
      <c r="F1775" t="s">
        <v>1649</v>
      </c>
      <c r="G1775" s="1">
        <v>41607</v>
      </c>
      <c r="H1775" s="1">
        <v>42001</v>
      </c>
      <c r="I1775">
        <v>1</v>
      </c>
      <c r="J1775" t="s">
        <v>7419</v>
      </c>
      <c r="K1775" t="s">
        <v>8280</v>
      </c>
      <c r="L1775" t="s">
        <v>81</v>
      </c>
      <c r="M1775" t="s">
        <v>8281</v>
      </c>
      <c r="P1775" t="s">
        <v>18</v>
      </c>
    </row>
    <row r="1776" spans="1:16" x14ac:dyDescent="0.35">
      <c r="A1776">
        <v>1632563</v>
      </c>
      <c r="B1776" t="s">
        <v>8282</v>
      </c>
      <c r="C1776" t="str">
        <f>"9783631593523"</f>
        <v>9783631593523</v>
      </c>
      <c r="D1776" t="str">
        <f>"9783653032307"</f>
        <v>9783653032307</v>
      </c>
      <c r="E1776" t="s">
        <v>2432</v>
      </c>
      <c r="F1776" t="s">
        <v>2432</v>
      </c>
      <c r="G1776" s="1">
        <v>41606</v>
      </c>
      <c r="H1776" s="1">
        <v>41683</v>
      </c>
      <c r="I1776">
        <v>3</v>
      </c>
      <c r="J1776" t="s">
        <v>8283</v>
      </c>
      <c r="K1776" t="s">
        <v>8284</v>
      </c>
      <c r="L1776" t="s">
        <v>26</v>
      </c>
      <c r="M1776" t="s">
        <v>8285</v>
      </c>
      <c r="N1776">
        <v>338.9</v>
      </c>
      <c r="O1776" t="s">
        <v>8286</v>
      </c>
      <c r="P1776" t="s">
        <v>315</v>
      </c>
    </row>
    <row r="1777" spans="1:16" x14ac:dyDescent="0.35">
      <c r="A1777">
        <v>3379178</v>
      </c>
      <c r="B1777" t="s">
        <v>8287</v>
      </c>
      <c r="C1777" t="str">
        <f>"9780309293952"</f>
        <v>9780309293952</v>
      </c>
      <c r="D1777" t="str">
        <f>"9780309293969"</f>
        <v>9780309293969</v>
      </c>
      <c r="E1777" t="s">
        <v>531</v>
      </c>
      <c r="F1777" t="s">
        <v>531</v>
      </c>
      <c r="G1777" s="1">
        <v>41600</v>
      </c>
      <c r="H1777" s="1">
        <v>41753</v>
      </c>
      <c r="I1777">
        <v>1</v>
      </c>
      <c r="K1777" t="s">
        <v>8288</v>
      </c>
      <c r="L1777" t="s">
        <v>166</v>
      </c>
      <c r="M1777" t="s">
        <v>8289</v>
      </c>
      <c r="N1777">
        <v>621.30999999999995</v>
      </c>
      <c r="P1777" t="s">
        <v>18</v>
      </c>
    </row>
    <row r="1778" spans="1:16" x14ac:dyDescent="0.35">
      <c r="A1778">
        <v>1564976</v>
      </c>
      <c r="B1778" t="s">
        <v>8290</v>
      </c>
      <c r="C1778" t="str">
        <f>"9783631650059"</f>
        <v>9783631650059</v>
      </c>
      <c r="D1778" t="str">
        <f>"9783653038552"</f>
        <v>9783653038552</v>
      </c>
      <c r="E1778" t="s">
        <v>2432</v>
      </c>
      <c r="F1778" t="s">
        <v>2432</v>
      </c>
      <c r="G1778" s="1">
        <v>41593</v>
      </c>
      <c r="H1778" s="1">
        <v>41739</v>
      </c>
      <c r="I1778">
        <v>1</v>
      </c>
      <c r="J1778" t="s">
        <v>8291</v>
      </c>
      <c r="K1778" t="s">
        <v>8292</v>
      </c>
      <c r="L1778" t="s">
        <v>202</v>
      </c>
      <c r="M1778" t="s">
        <v>8293</v>
      </c>
      <c r="N1778">
        <v>333.73</v>
      </c>
      <c r="O1778" t="s">
        <v>8294</v>
      </c>
      <c r="P1778" t="s">
        <v>315</v>
      </c>
    </row>
    <row r="1779" spans="1:16" x14ac:dyDescent="0.35">
      <c r="A1779">
        <v>1910366</v>
      </c>
      <c r="B1779" t="s">
        <v>8295</v>
      </c>
      <c r="C1779" t="str">
        <f>"9783037858042"</f>
        <v>9783037858042</v>
      </c>
      <c r="D1779" t="str">
        <f>"9783038261858"</f>
        <v>9783038261858</v>
      </c>
      <c r="E1779" t="s">
        <v>1649</v>
      </c>
      <c r="F1779" t="s">
        <v>1649</v>
      </c>
      <c r="G1779" s="1">
        <v>41593</v>
      </c>
      <c r="H1779" s="1">
        <v>42000</v>
      </c>
      <c r="I1779">
        <v>1</v>
      </c>
      <c r="J1779" t="s">
        <v>7419</v>
      </c>
      <c r="K1779" t="s">
        <v>8296</v>
      </c>
      <c r="L1779" t="s">
        <v>81</v>
      </c>
      <c r="M1779" t="s">
        <v>8297</v>
      </c>
      <c r="P1779" t="s">
        <v>18</v>
      </c>
    </row>
    <row r="1780" spans="1:16" x14ac:dyDescent="0.35">
      <c r="A1780">
        <v>1565102</v>
      </c>
      <c r="B1780" t="s">
        <v>8298</v>
      </c>
      <c r="C1780" t="str">
        <f>"9782875740618"</f>
        <v>9782875740618</v>
      </c>
      <c r="D1780" t="str">
        <f>"9783035263381"</f>
        <v>9783035263381</v>
      </c>
      <c r="E1780" t="s">
        <v>2432</v>
      </c>
      <c r="F1780" t="s">
        <v>7333</v>
      </c>
      <c r="G1780" s="1">
        <v>41583</v>
      </c>
      <c r="H1780" s="1">
        <v>41598</v>
      </c>
      <c r="I1780">
        <v>1</v>
      </c>
      <c r="K1780" t="s">
        <v>8115</v>
      </c>
      <c r="L1780" t="s">
        <v>38</v>
      </c>
      <c r="M1780" t="s">
        <v>8299</v>
      </c>
      <c r="N1780">
        <v>307.76799999999997</v>
      </c>
      <c r="O1780" t="s">
        <v>8300</v>
      </c>
      <c r="P1780" t="s">
        <v>18</v>
      </c>
    </row>
    <row r="1781" spans="1:16" x14ac:dyDescent="0.35">
      <c r="A1781">
        <v>1564781</v>
      </c>
      <c r="B1781" t="s">
        <v>8301</v>
      </c>
      <c r="C1781" t="str">
        <f>"9783631634622"</f>
        <v>9783631634622</v>
      </c>
      <c r="D1781" t="str">
        <f>"9783653034943"</f>
        <v>9783653034943</v>
      </c>
      <c r="E1781" t="s">
        <v>2432</v>
      </c>
      <c r="F1781" t="s">
        <v>2432</v>
      </c>
      <c r="G1781" s="1">
        <v>41582</v>
      </c>
      <c r="H1781" s="1">
        <v>41608</v>
      </c>
      <c r="I1781">
        <v>1</v>
      </c>
      <c r="K1781" t="s">
        <v>8302</v>
      </c>
      <c r="L1781" t="s">
        <v>364</v>
      </c>
      <c r="M1781" t="s">
        <v>8303</v>
      </c>
      <c r="N1781">
        <v>333.75150000000002</v>
      </c>
      <c r="O1781" t="s">
        <v>8304</v>
      </c>
      <c r="P1781" t="s">
        <v>18</v>
      </c>
    </row>
    <row r="1782" spans="1:16" x14ac:dyDescent="0.35">
      <c r="A1782">
        <v>1564953</v>
      </c>
      <c r="B1782" t="s">
        <v>8305</v>
      </c>
      <c r="C1782" t="str">
        <f>"9783631645475"</f>
        <v>9783631645475</v>
      </c>
      <c r="D1782" t="str">
        <f>"9783653036923"</f>
        <v>9783653036923</v>
      </c>
      <c r="E1782" t="s">
        <v>2432</v>
      </c>
      <c r="F1782" t="s">
        <v>2432</v>
      </c>
      <c r="G1782" s="1">
        <v>41582</v>
      </c>
      <c r="H1782" s="1">
        <v>41614</v>
      </c>
      <c r="I1782">
        <v>1</v>
      </c>
      <c r="J1782" t="s">
        <v>8306</v>
      </c>
      <c r="K1782" t="s">
        <v>8307</v>
      </c>
      <c r="L1782" t="s">
        <v>28</v>
      </c>
      <c r="M1782" t="s">
        <v>8308</v>
      </c>
      <c r="N1782">
        <v>658.40830000000005</v>
      </c>
      <c r="O1782" t="s">
        <v>8309</v>
      </c>
      <c r="P1782" t="s">
        <v>315</v>
      </c>
    </row>
    <row r="1783" spans="1:16" x14ac:dyDescent="0.35">
      <c r="A1783">
        <v>1910352</v>
      </c>
      <c r="B1783" t="s">
        <v>8310</v>
      </c>
      <c r="C1783" t="str">
        <f>"9783037857908"</f>
        <v>9783037857908</v>
      </c>
      <c r="D1783" t="str">
        <f>"9783038261711"</f>
        <v>9783038261711</v>
      </c>
      <c r="E1783" t="s">
        <v>1649</v>
      </c>
      <c r="F1783" t="s">
        <v>1649</v>
      </c>
      <c r="G1783" s="1">
        <v>41579</v>
      </c>
      <c r="H1783" s="1">
        <v>42000</v>
      </c>
      <c r="I1783">
        <v>1</v>
      </c>
      <c r="J1783" t="s">
        <v>7419</v>
      </c>
      <c r="K1783" t="s">
        <v>8311</v>
      </c>
      <c r="L1783" t="s">
        <v>28</v>
      </c>
      <c r="M1783" t="s">
        <v>8312</v>
      </c>
      <c r="P1783" t="s">
        <v>18</v>
      </c>
    </row>
    <row r="1784" spans="1:16" x14ac:dyDescent="0.35">
      <c r="A1784">
        <v>1910354</v>
      </c>
      <c r="B1784" t="s">
        <v>8313</v>
      </c>
      <c r="C1784" t="str">
        <f>"9783037857922"</f>
        <v>9783037857922</v>
      </c>
      <c r="D1784" t="str">
        <f>"9783038261735"</f>
        <v>9783038261735</v>
      </c>
      <c r="E1784" t="s">
        <v>1649</v>
      </c>
      <c r="F1784" t="s">
        <v>1649</v>
      </c>
      <c r="G1784" s="1">
        <v>41578</v>
      </c>
      <c r="H1784" s="1">
        <v>42000</v>
      </c>
      <c r="I1784">
        <v>1</v>
      </c>
      <c r="J1784" t="s">
        <v>4195</v>
      </c>
      <c r="K1784" t="s">
        <v>8296</v>
      </c>
      <c r="L1784" t="s">
        <v>84</v>
      </c>
      <c r="M1784" t="s">
        <v>8314</v>
      </c>
      <c r="P1784" t="s">
        <v>18</v>
      </c>
    </row>
    <row r="1785" spans="1:16" x14ac:dyDescent="0.35">
      <c r="A1785">
        <v>1910343</v>
      </c>
      <c r="B1785" t="s">
        <v>8315</v>
      </c>
      <c r="C1785" t="str">
        <f>"9783037857823"</f>
        <v>9783037857823</v>
      </c>
      <c r="D1785" t="str">
        <f>"9783038261636"</f>
        <v>9783038261636</v>
      </c>
      <c r="E1785" t="s">
        <v>1649</v>
      </c>
      <c r="F1785" t="s">
        <v>1649</v>
      </c>
      <c r="G1785" s="1">
        <v>41572</v>
      </c>
      <c r="H1785" s="1">
        <v>42000</v>
      </c>
      <c r="I1785">
        <v>1</v>
      </c>
      <c r="J1785" t="s">
        <v>7419</v>
      </c>
      <c r="K1785" t="s">
        <v>8316</v>
      </c>
      <c r="L1785" t="s">
        <v>179</v>
      </c>
      <c r="M1785" t="s">
        <v>8317</v>
      </c>
      <c r="P1785" t="s">
        <v>18</v>
      </c>
    </row>
    <row r="1786" spans="1:16" x14ac:dyDescent="0.35">
      <c r="A1786">
        <v>1495927</v>
      </c>
      <c r="B1786" t="s">
        <v>8318</v>
      </c>
      <c r="C1786" t="str">
        <f>"9781442227736"</f>
        <v>9781442227736</v>
      </c>
      <c r="D1786" t="str">
        <f>"9781442227743"</f>
        <v>9781442227743</v>
      </c>
      <c r="E1786" t="s">
        <v>6849</v>
      </c>
      <c r="F1786" t="s">
        <v>6849</v>
      </c>
      <c r="G1786" s="1">
        <v>41565</v>
      </c>
      <c r="H1786" s="1">
        <v>41571</v>
      </c>
      <c r="J1786" t="s">
        <v>6850</v>
      </c>
      <c r="K1786" t="s">
        <v>8319</v>
      </c>
      <c r="L1786" t="s">
        <v>26</v>
      </c>
      <c r="M1786" t="s">
        <v>8320</v>
      </c>
      <c r="N1786">
        <v>338.92700000000002</v>
      </c>
      <c r="O1786" t="s">
        <v>2677</v>
      </c>
      <c r="P1786" t="s">
        <v>18</v>
      </c>
    </row>
    <row r="1787" spans="1:16" x14ac:dyDescent="0.35">
      <c r="A1787">
        <v>1910338</v>
      </c>
      <c r="B1787" t="s">
        <v>8321</v>
      </c>
      <c r="C1787" t="str">
        <f>"9783037857779"</f>
        <v>9783037857779</v>
      </c>
      <c r="D1787" t="str">
        <f>"9783038261582"</f>
        <v>9783038261582</v>
      </c>
      <c r="E1787" t="s">
        <v>1649</v>
      </c>
      <c r="F1787" t="s">
        <v>1649</v>
      </c>
      <c r="G1787" s="1">
        <v>41557</v>
      </c>
      <c r="H1787" s="1">
        <v>42000</v>
      </c>
      <c r="I1787">
        <v>1</v>
      </c>
      <c r="J1787" t="s">
        <v>4195</v>
      </c>
      <c r="K1787" t="s">
        <v>8322</v>
      </c>
      <c r="L1787" t="s">
        <v>38</v>
      </c>
      <c r="M1787" t="s">
        <v>8323</v>
      </c>
      <c r="P1787" t="s">
        <v>18</v>
      </c>
    </row>
    <row r="1788" spans="1:16" x14ac:dyDescent="0.35">
      <c r="A1788">
        <v>1910346</v>
      </c>
      <c r="B1788" t="s">
        <v>8324</v>
      </c>
      <c r="C1788" t="str">
        <f>"9783037857854"</f>
        <v>9783037857854</v>
      </c>
      <c r="D1788" t="str">
        <f>"9783038261667"</f>
        <v>9783038261667</v>
      </c>
      <c r="E1788" t="s">
        <v>1649</v>
      </c>
      <c r="F1788" t="s">
        <v>1649</v>
      </c>
      <c r="G1788" s="1">
        <v>41551</v>
      </c>
      <c r="H1788" s="1">
        <v>42000</v>
      </c>
      <c r="I1788">
        <v>1</v>
      </c>
      <c r="J1788" t="s">
        <v>2393</v>
      </c>
      <c r="K1788" t="s">
        <v>8325</v>
      </c>
      <c r="L1788" t="s">
        <v>129</v>
      </c>
      <c r="M1788" t="s">
        <v>8326</v>
      </c>
      <c r="P1788" t="s">
        <v>18</v>
      </c>
    </row>
    <row r="1789" spans="1:16" x14ac:dyDescent="0.35">
      <c r="A1789">
        <v>3312726</v>
      </c>
      <c r="B1789" t="s">
        <v>8327</v>
      </c>
      <c r="C1789" t="str">
        <f>"9781466645509"</f>
        <v>9781466645509</v>
      </c>
      <c r="D1789" t="str">
        <f>"9781466645516"</f>
        <v>9781466645516</v>
      </c>
      <c r="E1789" t="s">
        <v>138</v>
      </c>
      <c r="F1789" t="s">
        <v>138</v>
      </c>
      <c r="G1789" s="1">
        <v>41547</v>
      </c>
      <c r="H1789" s="1">
        <v>41529</v>
      </c>
      <c r="K1789" t="s">
        <v>8328</v>
      </c>
      <c r="L1789" t="s">
        <v>26</v>
      </c>
      <c r="M1789" t="s">
        <v>8329</v>
      </c>
      <c r="N1789" t="s">
        <v>8330</v>
      </c>
      <c r="O1789" t="s">
        <v>8331</v>
      </c>
      <c r="P1789" t="s">
        <v>18</v>
      </c>
    </row>
    <row r="1790" spans="1:16" x14ac:dyDescent="0.35">
      <c r="A1790">
        <v>1220301</v>
      </c>
      <c r="B1790" t="s">
        <v>8332</v>
      </c>
      <c r="C1790" t="str">
        <f>"9781845938857"</f>
        <v>9781845938857</v>
      </c>
      <c r="D1790" t="str">
        <f>"9781845938864"</f>
        <v>9781845938864</v>
      </c>
      <c r="E1790" t="s">
        <v>333</v>
      </c>
      <c r="F1790" t="s">
        <v>333</v>
      </c>
      <c r="G1790" s="1">
        <v>41540</v>
      </c>
      <c r="H1790" s="1">
        <v>41456</v>
      </c>
      <c r="K1790" t="s">
        <v>8333</v>
      </c>
      <c r="L1790" t="s">
        <v>168</v>
      </c>
      <c r="M1790" t="s">
        <v>8334</v>
      </c>
      <c r="N1790">
        <v>631</v>
      </c>
      <c r="O1790" t="s">
        <v>8335</v>
      </c>
      <c r="P1790" t="s">
        <v>18</v>
      </c>
    </row>
    <row r="1791" spans="1:16" x14ac:dyDescent="0.35">
      <c r="A1791">
        <v>1910305</v>
      </c>
      <c r="B1791" t="s">
        <v>8336</v>
      </c>
      <c r="C1791" t="str">
        <f>"9783037857441"</f>
        <v>9783037857441</v>
      </c>
      <c r="D1791" t="str">
        <f>"9783038261254"</f>
        <v>9783038261254</v>
      </c>
      <c r="E1791" t="s">
        <v>1649</v>
      </c>
      <c r="F1791" t="s">
        <v>1649</v>
      </c>
      <c r="G1791" s="1">
        <v>41535</v>
      </c>
      <c r="H1791" s="1">
        <v>42000</v>
      </c>
      <c r="I1791">
        <v>1</v>
      </c>
      <c r="J1791" t="s">
        <v>7419</v>
      </c>
      <c r="K1791" t="s">
        <v>8337</v>
      </c>
      <c r="L1791" t="s">
        <v>28</v>
      </c>
      <c r="M1791" t="s">
        <v>8338</v>
      </c>
      <c r="P1791" t="s">
        <v>18</v>
      </c>
    </row>
    <row r="1792" spans="1:16" x14ac:dyDescent="0.35">
      <c r="A1792">
        <v>1910311</v>
      </c>
      <c r="B1792" t="s">
        <v>8339</v>
      </c>
      <c r="C1792" t="str">
        <f>"9783037857489"</f>
        <v>9783037857489</v>
      </c>
      <c r="D1792" t="str">
        <f>"9783038261292"</f>
        <v>9783038261292</v>
      </c>
      <c r="E1792" t="s">
        <v>1649</v>
      </c>
      <c r="F1792" t="s">
        <v>1649</v>
      </c>
      <c r="G1792" s="1">
        <v>41529</v>
      </c>
      <c r="H1792" s="1">
        <v>42000</v>
      </c>
      <c r="I1792">
        <v>1</v>
      </c>
      <c r="J1792" t="s">
        <v>4195</v>
      </c>
      <c r="K1792" t="s">
        <v>8340</v>
      </c>
      <c r="L1792" t="s">
        <v>28</v>
      </c>
      <c r="M1792" t="s">
        <v>8341</v>
      </c>
      <c r="P1792" t="s">
        <v>18</v>
      </c>
    </row>
    <row r="1793" spans="1:16" x14ac:dyDescent="0.35">
      <c r="A1793">
        <v>1361986</v>
      </c>
      <c r="B1793" t="s">
        <v>8342</v>
      </c>
      <c r="C1793" t="str">
        <f>"9781781001523"</f>
        <v>9781781001523</v>
      </c>
      <c r="D1793" t="str">
        <f>"9781781001530"</f>
        <v>9781781001530</v>
      </c>
      <c r="E1793" t="s">
        <v>2080</v>
      </c>
      <c r="F1793" t="s">
        <v>7033</v>
      </c>
      <c r="G1793" s="1">
        <v>41516</v>
      </c>
      <c r="H1793" s="1">
        <v>41512</v>
      </c>
      <c r="K1793" t="s">
        <v>8343</v>
      </c>
      <c r="L1793" t="s">
        <v>28</v>
      </c>
      <c r="M1793" t="s">
        <v>8344</v>
      </c>
      <c r="N1793">
        <v>658.40120000000002</v>
      </c>
      <c r="O1793" t="s">
        <v>8345</v>
      </c>
      <c r="P1793" t="s">
        <v>18</v>
      </c>
    </row>
    <row r="1794" spans="1:16" x14ac:dyDescent="0.35">
      <c r="A1794">
        <v>1361987</v>
      </c>
      <c r="B1794" t="s">
        <v>8346</v>
      </c>
      <c r="C1794" t="str">
        <f>"9781781002483"</f>
        <v>9781781002483</v>
      </c>
      <c r="D1794" t="str">
        <f>"9781781002490"</f>
        <v>9781781002490</v>
      </c>
      <c r="E1794" t="s">
        <v>2080</v>
      </c>
      <c r="F1794" t="s">
        <v>7033</v>
      </c>
      <c r="G1794" s="1">
        <v>41516</v>
      </c>
      <c r="H1794" s="1">
        <v>41512</v>
      </c>
      <c r="K1794" t="s">
        <v>8347</v>
      </c>
      <c r="L1794" t="s">
        <v>38</v>
      </c>
      <c r="M1794" t="s">
        <v>8348</v>
      </c>
      <c r="N1794">
        <v>363.34699999999998</v>
      </c>
      <c r="O1794" t="s">
        <v>8349</v>
      </c>
      <c r="P1794" t="s">
        <v>18</v>
      </c>
    </row>
    <row r="1795" spans="1:16" x14ac:dyDescent="0.35">
      <c r="A1795">
        <v>1910301</v>
      </c>
      <c r="B1795" t="s">
        <v>8350</v>
      </c>
      <c r="C1795" t="str">
        <f>"9783037857403"</f>
        <v>9783037857403</v>
      </c>
      <c r="D1795" t="str">
        <f>"9783038261216"</f>
        <v>9783038261216</v>
      </c>
      <c r="E1795" t="s">
        <v>1649</v>
      </c>
      <c r="F1795" t="s">
        <v>1649</v>
      </c>
      <c r="G1795" s="1">
        <v>41514</v>
      </c>
      <c r="H1795" s="1">
        <v>42000</v>
      </c>
      <c r="I1795">
        <v>1</v>
      </c>
      <c r="J1795" t="s">
        <v>7419</v>
      </c>
      <c r="K1795" t="s">
        <v>8351</v>
      </c>
      <c r="L1795" t="s">
        <v>81</v>
      </c>
      <c r="M1795" t="s">
        <v>8352</v>
      </c>
      <c r="P1795" t="s">
        <v>18</v>
      </c>
    </row>
    <row r="1796" spans="1:16" x14ac:dyDescent="0.35">
      <c r="A1796">
        <v>1332184</v>
      </c>
      <c r="B1796" t="s">
        <v>8353</v>
      </c>
      <c r="C1796" t="str">
        <f>"9780124171954"</f>
        <v>9780124171954</v>
      </c>
      <c r="D1796" t="str">
        <f>"9780124172029"</f>
        <v>9780124172029</v>
      </c>
      <c r="E1796" t="s">
        <v>190</v>
      </c>
      <c r="F1796" t="s">
        <v>191</v>
      </c>
      <c r="G1796" s="1">
        <v>41507</v>
      </c>
      <c r="H1796" s="1">
        <v>41488</v>
      </c>
      <c r="K1796" t="s">
        <v>8354</v>
      </c>
      <c r="L1796" t="s">
        <v>5859</v>
      </c>
      <c r="M1796" t="s">
        <v>8355</v>
      </c>
      <c r="N1796">
        <v>664</v>
      </c>
      <c r="O1796" t="s">
        <v>8356</v>
      </c>
      <c r="P1796" t="s">
        <v>18</v>
      </c>
    </row>
    <row r="1797" spans="1:16" x14ac:dyDescent="0.35">
      <c r="A1797">
        <v>5234846</v>
      </c>
      <c r="B1797" t="s">
        <v>8357</v>
      </c>
      <c r="C1797" t="str">
        <f>"9781608194544"</f>
        <v>9781608194544</v>
      </c>
      <c r="D1797" t="str">
        <f>"9781608194551"</f>
        <v>9781608194551</v>
      </c>
      <c r="E1797" t="s">
        <v>539</v>
      </c>
      <c r="F1797" t="s">
        <v>8358</v>
      </c>
      <c r="G1797" s="1">
        <v>41506</v>
      </c>
      <c r="H1797" s="1">
        <v>43125</v>
      </c>
      <c r="K1797" t="s">
        <v>2423</v>
      </c>
      <c r="L1797" t="s">
        <v>8359</v>
      </c>
      <c r="M1797" t="s">
        <v>8360</v>
      </c>
      <c r="N1797" t="s">
        <v>3695</v>
      </c>
      <c r="O1797" t="s">
        <v>8361</v>
      </c>
      <c r="P1797" t="s">
        <v>18</v>
      </c>
    </row>
    <row r="1798" spans="1:16" x14ac:dyDescent="0.35">
      <c r="A1798">
        <v>1273490</v>
      </c>
      <c r="B1798" t="s">
        <v>8362</v>
      </c>
      <c r="C1798" t="str">
        <f>"9780124076686"</f>
        <v>9780124076686</v>
      </c>
      <c r="D1798" t="str">
        <f>"9780124076617"</f>
        <v>9780124076617</v>
      </c>
      <c r="E1798" t="s">
        <v>1699</v>
      </c>
      <c r="F1798" t="s">
        <v>1699</v>
      </c>
      <c r="G1798" s="1">
        <v>41505</v>
      </c>
      <c r="H1798" s="1">
        <v>41463</v>
      </c>
      <c r="K1798" t="s">
        <v>8363</v>
      </c>
      <c r="L1798" t="s">
        <v>424</v>
      </c>
      <c r="M1798" t="s">
        <v>8364</v>
      </c>
      <c r="N1798">
        <v>333.91640000000001</v>
      </c>
      <c r="O1798" t="s">
        <v>8365</v>
      </c>
      <c r="P1798" t="s">
        <v>18</v>
      </c>
    </row>
    <row r="1799" spans="1:16" x14ac:dyDescent="0.35">
      <c r="A1799">
        <v>3038127</v>
      </c>
      <c r="B1799" t="s">
        <v>8366</v>
      </c>
      <c r="C1799" t="str">
        <f>"9783037857328"</f>
        <v>9783037857328</v>
      </c>
      <c r="D1799" t="str">
        <f>"9783038261131"</f>
        <v>9783038261131</v>
      </c>
      <c r="E1799" t="s">
        <v>1649</v>
      </c>
      <c r="F1799" t="s">
        <v>1649</v>
      </c>
      <c r="G1799" s="1">
        <v>41498</v>
      </c>
      <c r="H1799" s="1">
        <v>41562</v>
      </c>
      <c r="I1799">
        <v>1</v>
      </c>
      <c r="J1799" t="s">
        <v>7419</v>
      </c>
      <c r="K1799" t="s">
        <v>8367</v>
      </c>
      <c r="L1799" t="s">
        <v>28</v>
      </c>
      <c r="M1799" t="s">
        <v>8368</v>
      </c>
      <c r="P1799" t="s">
        <v>18</v>
      </c>
    </row>
    <row r="1800" spans="1:16" x14ac:dyDescent="0.35">
      <c r="A1800">
        <v>3312780</v>
      </c>
      <c r="B1800" t="s">
        <v>8369</v>
      </c>
      <c r="C1800" t="str">
        <f>"9781466643178"</f>
        <v>9781466643178</v>
      </c>
      <c r="D1800" t="str">
        <f>"9781466643185"</f>
        <v>9781466643185</v>
      </c>
      <c r="E1800" t="s">
        <v>138</v>
      </c>
      <c r="F1800" t="s">
        <v>138</v>
      </c>
      <c r="G1800" s="1">
        <v>41486</v>
      </c>
      <c r="H1800" s="1">
        <v>41548</v>
      </c>
      <c r="J1800" t="s">
        <v>8370</v>
      </c>
      <c r="K1800" t="s">
        <v>8371</v>
      </c>
      <c r="L1800" t="s">
        <v>8372</v>
      </c>
      <c r="M1800" t="s">
        <v>8373</v>
      </c>
      <c r="N1800" t="s">
        <v>8374</v>
      </c>
      <c r="O1800" t="s">
        <v>8375</v>
      </c>
      <c r="P1800" t="s">
        <v>18</v>
      </c>
    </row>
    <row r="1801" spans="1:16" x14ac:dyDescent="0.35">
      <c r="A1801">
        <v>1317946</v>
      </c>
      <c r="B1801" t="s">
        <v>8376</v>
      </c>
      <c r="C1801" t="str">
        <f>"9783034309011"</f>
        <v>9783034309011</v>
      </c>
      <c r="D1801" t="str">
        <f>"9783035304756"</f>
        <v>9783035304756</v>
      </c>
      <c r="E1801" t="s">
        <v>2432</v>
      </c>
      <c r="F1801" t="s">
        <v>7333</v>
      </c>
      <c r="G1801" s="1">
        <v>41458</v>
      </c>
      <c r="H1801" s="1">
        <v>41493</v>
      </c>
      <c r="I1801">
        <v>1</v>
      </c>
      <c r="K1801" t="s">
        <v>8377</v>
      </c>
      <c r="L1801" t="s">
        <v>38</v>
      </c>
      <c r="M1801" t="s">
        <v>8378</v>
      </c>
      <c r="N1801">
        <v>361.61</v>
      </c>
      <c r="O1801" t="s">
        <v>8379</v>
      </c>
      <c r="P1801" t="s">
        <v>18</v>
      </c>
    </row>
    <row r="1802" spans="1:16" x14ac:dyDescent="0.35">
      <c r="A1802">
        <v>1910251</v>
      </c>
      <c r="B1802" t="s">
        <v>8380</v>
      </c>
      <c r="C1802" t="str">
        <f>"9783037856871"</f>
        <v>9783037856871</v>
      </c>
      <c r="D1802" t="str">
        <f>"9783038260684"</f>
        <v>9783038260684</v>
      </c>
      <c r="E1802" t="s">
        <v>1649</v>
      </c>
      <c r="F1802" t="s">
        <v>1649</v>
      </c>
      <c r="G1802" s="1">
        <v>41456</v>
      </c>
      <c r="H1802" s="1">
        <v>42000</v>
      </c>
      <c r="I1802">
        <v>1</v>
      </c>
      <c r="J1802" t="s">
        <v>7419</v>
      </c>
      <c r="K1802" t="s">
        <v>8381</v>
      </c>
      <c r="L1802" t="s">
        <v>84</v>
      </c>
      <c r="M1802" t="s">
        <v>8382</v>
      </c>
      <c r="P1802" t="s">
        <v>18</v>
      </c>
    </row>
    <row r="1803" spans="1:16" x14ac:dyDescent="0.35">
      <c r="A1803">
        <v>1910257</v>
      </c>
      <c r="B1803" t="s">
        <v>8383</v>
      </c>
      <c r="C1803" t="str">
        <f>"9783037856932"</f>
        <v>9783037856932</v>
      </c>
      <c r="D1803" t="str">
        <f>"9783038260745"</f>
        <v>9783038260745</v>
      </c>
      <c r="E1803" t="s">
        <v>1649</v>
      </c>
      <c r="F1803" t="s">
        <v>1649</v>
      </c>
      <c r="G1803" s="1">
        <v>41456</v>
      </c>
      <c r="H1803" s="1">
        <v>42000</v>
      </c>
      <c r="I1803">
        <v>1</v>
      </c>
      <c r="J1803" t="s">
        <v>7419</v>
      </c>
      <c r="K1803" t="s">
        <v>8384</v>
      </c>
      <c r="L1803" t="s">
        <v>28</v>
      </c>
      <c r="M1803" t="s">
        <v>8385</v>
      </c>
      <c r="P1803" t="s">
        <v>18</v>
      </c>
    </row>
    <row r="1804" spans="1:16" x14ac:dyDescent="0.35">
      <c r="A1804">
        <v>5561635</v>
      </c>
      <c r="B1804" t="s">
        <v>8386</v>
      </c>
      <c r="C1804" t="str">
        <f>"9781412995719"</f>
        <v>9781412995719</v>
      </c>
      <c r="D1804" t="str">
        <f>"9781483318042"</f>
        <v>9781483318042</v>
      </c>
      <c r="E1804" t="s">
        <v>413</v>
      </c>
      <c r="F1804" t="s">
        <v>413</v>
      </c>
      <c r="G1804" s="1">
        <v>41456</v>
      </c>
      <c r="H1804" s="1">
        <v>43398</v>
      </c>
      <c r="I1804">
        <v>1</v>
      </c>
      <c r="J1804" t="s">
        <v>8387</v>
      </c>
      <c r="K1804" t="s">
        <v>8388</v>
      </c>
      <c r="L1804" t="s">
        <v>340</v>
      </c>
      <c r="M1804" t="s">
        <v>8389</v>
      </c>
      <c r="N1804">
        <v>304.20222999999999</v>
      </c>
      <c r="O1804" t="s">
        <v>8390</v>
      </c>
      <c r="P1804" t="s">
        <v>18</v>
      </c>
    </row>
    <row r="1805" spans="1:16" x14ac:dyDescent="0.35">
      <c r="A1805">
        <v>3312531</v>
      </c>
      <c r="B1805" t="s">
        <v>8391</v>
      </c>
      <c r="C1805" t="str">
        <f>"9781466641778"</f>
        <v>9781466641778</v>
      </c>
      <c r="D1805" t="str">
        <f>"9781466641785"</f>
        <v>9781466641785</v>
      </c>
      <c r="E1805" t="s">
        <v>7189</v>
      </c>
      <c r="F1805" t="s">
        <v>7189</v>
      </c>
      <c r="G1805" s="1">
        <v>41455</v>
      </c>
      <c r="H1805" s="1">
        <v>41402</v>
      </c>
      <c r="K1805" t="s">
        <v>8392</v>
      </c>
      <c r="L1805" t="s">
        <v>28</v>
      </c>
      <c r="M1805" t="s">
        <v>8393</v>
      </c>
      <c r="N1805" t="s">
        <v>5141</v>
      </c>
      <c r="O1805" t="s">
        <v>8394</v>
      </c>
      <c r="P1805" t="s">
        <v>18</v>
      </c>
    </row>
    <row r="1806" spans="1:16" x14ac:dyDescent="0.35">
      <c r="A1806">
        <v>3312851</v>
      </c>
      <c r="B1806" t="s">
        <v>8395</v>
      </c>
      <c r="C1806" t="str">
        <f>"9781466642331"</f>
        <v>9781466642331</v>
      </c>
      <c r="D1806" t="str">
        <f>"9781466642348"</f>
        <v>9781466642348</v>
      </c>
      <c r="E1806" t="s">
        <v>138</v>
      </c>
      <c r="F1806" t="s">
        <v>138</v>
      </c>
      <c r="G1806" s="1">
        <v>41455</v>
      </c>
      <c r="H1806" s="1">
        <v>41614</v>
      </c>
      <c r="J1806" t="s">
        <v>8396</v>
      </c>
      <c r="K1806" t="s">
        <v>8397</v>
      </c>
      <c r="L1806" t="s">
        <v>593</v>
      </c>
      <c r="M1806" t="s">
        <v>8398</v>
      </c>
      <c r="N1806">
        <v>338.43378000000001</v>
      </c>
      <c r="O1806" t="s">
        <v>8399</v>
      </c>
      <c r="P1806" t="s">
        <v>18</v>
      </c>
    </row>
    <row r="1807" spans="1:16" x14ac:dyDescent="0.35">
      <c r="A1807">
        <v>1224198</v>
      </c>
      <c r="B1807" t="s">
        <v>8400</v>
      </c>
      <c r="C1807" t="str">
        <f>"9780857933959"</f>
        <v>9780857933959</v>
      </c>
      <c r="D1807" t="str">
        <f>"9780857933966"</f>
        <v>9780857933966</v>
      </c>
      <c r="E1807" t="s">
        <v>2080</v>
      </c>
      <c r="F1807" t="s">
        <v>7033</v>
      </c>
      <c r="G1807" s="1">
        <v>41453</v>
      </c>
      <c r="H1807" s="1">
        <v>41486</v>
      </c>
      <c r="J1807" t="s">
        <v>8401</v>
      </c>
      <c r="K1807" t="s">
        <v>8402</v>
      </c>
      <c r="L1807" t="s">
        <v>368</v>
      </c>
      <c r="M1807" t="s">
        <v>8403</v>
      </c>
      <c r="N1807">
        <v>333.79320000000001</v>
      </c>
      <c r="O1807" t="s">
        <v>8404</v>
      </c>
      <c r="P1807" t="s">
        <v>18</v>
      </c>
    </row>
    <row r="1808" spans="1:16" x14ac:dyDescent="0.35">
      <c r="A1808">
        <v>1903346</v>
      </c>
      <c r="B1808" t="s">
        <v>8405</v>
      </c>
      <c r="C1808" t="str">
        <f>"9783037856581"</f>
        <v>9783037856581</v>
      </c>
      <c r="D1808" t="str">
        <f>"9783038260394"</f>
        <v>9783038260394</v>
      </c>
      <c r="E1808" t="s">
        <v>1649</v>
      </c>
      <c r="F1808" t="s">
        <v>1649</v>
      </c>
      <c r="G1808" s="1">
        <v>41451</v>
      </c>
      <c r="H1808" s="1">
        <v>41994</v>
      </c>
      <c r="I1808">
        <v>1</v>
      </c>
      <c r="J1808" t="s">
        <v>7419</v>
      </c>
      <c r="K1808" t="s">
        <v>8406</v>
      </c>
      <c r="L1808" t="s">
        <v>104</v>
      </c>
      <c r="M1808" t="s">
        <v>8407</v>
      </c>
      <c r="P1808" t="s">
        <v>18</v>
      </c>
    </row>
    <row r="1809" spans="1:16" x14ac:dyDescent="0.35">
      <c r="A1809">
        <v>5021905</v>
      </c>
      <c r="B1809" t="s">
        <v>8408</v>
      </c>
      <c r="C1809" t="str">
        <f>"9783954044351"</f>
        <v>9783954044351</v>
      </c>
      <c r="D1809" t="str">
        <f>"9783736944350"</f>
        <v>9783736944350</v>
      </c>
      <c r="E1809" t="s">
        <v>2357</v>
      </c>
      <c r="F1809" t="s">
        <v>2357</v>
      </c>
      <c r="G1809" s="1">
        <v>41428</v>
      </c>
      <c r="H1809" s="1">
        <v>42983</v>
      </c>
      <c r="I1809">
        <v>1</v>
      </c>
      <c r="K1809" t="s">
        <v>8409</v>
      </c>
      <c r="L1809" t="s">
        <v>422</v>
      </c>
      <c r="M1809" t="s">
        <v>8410</v>
      </c>
      <c r="N1809">
        <v>363.72800000000001</v>
      </c>
      <c r="O1809" t="s">
        <v>8411</v>
      </c>
      <c r="P1809" t="s">
        <v>18</v>
      </c>
    </row>
    <row r="1810" spans="1:16" x14ac:dyDescent="0.35">
      <c r="A1810">
        <v>5023557</v>
      </c>
      <c r="B1810" t="s">
        <v>8412</v>
      </c>
      <c r="C1810" t="str">
        <f>"9783954044344"</f>
        <v>9783954044344</v>
      </c>
      <c r="D1810" t="str">
        <f>"9783736944343"</f>
        <v>9783736944343</v>
      </c>
      <c r="E1810" t="s">
        <v>2357</v>
      </c>
      <c r="F1810" t="s">
        <v>2357</v>
      </c>
      <c r="G1810" s="1">
        <v>41428</v>
      </c>
      <c r="H1810" s="1">
        <v>42984</v>
      </c>
      <c r="I1810">
        <v>1</v>
      </c>
      <c r="K1810" t="s">
        <v>8409</v>
      </c>
      <c r="L1810" t="s">
        <v>31</v>
      </c>
      <c r="M1810" t="s">
        <v>8413</v>
      </c>
      <c r="N1810">
        <v>363.72800000000001</v>
      </c>
      <c r="O1810" t="s">
        <v>8411</v>
      </c>
      <c r="P1810" t="s">
        <v>315</v>
      </c>
    </row>
    <row r="1811" spans="1:16" x14ac:dyDescent="0.35">
      <c r="A1811">
        <v>1190638</v>
      </c>
      <c r="B1811" t="s">
        <v>8414</v>
      </c>
      <c r="C1811" t="str">
        <f>"9781781007228"</f>
        <v>9781781007228</v>
      </c>
      <c r="D1811" t="str">
        <f>"9781781007235"</f>
        <v>9781781007235</v>
      </c>
      <c r="E1811" t="s">
        <v>2080</v>
      </c>
      <c r="F1811" t="s">
        <v>7033</v>
      </c>
      <c r="G1811" s="1">
        <v>41425</v>
      </c>
      <c r="H1811" s="1">
        <v>41419</v>
      </c>
      <c r="K1811" t="s">
        <v>8415</v>
      </c>
      <c r="L1811" t="s">
        <v>28</v>
      </c>
      <c r="M1811" t="s">
        <v>8416</v>
      </c>
      <c r="N1811">
        <v>388.04899999999998</v>
      </c>
      <c r="O1811" t="s">
        <v>8417</v>
      </c>
      <c r="P1811" t="s">
        <v>18</v>
      </c>
    </row>
    <row r="1812" spans="1:16" x14ac:dyDescent="0.35">
      <c r="A1812">
        <v>1220173</v>
      </c>
      <c r="B1812" t="s">
        <v>8418</v>
      </c>
      <c r="C1812" t="str">
        <f>"9781781006207"</f>
        <v>9781781006207</v>
      </c>
      <c r="D1812" t="str">
        <f>"9781781006214"</f>
        <v>9781781006214</v>
      </c>
      <c r="E1812" t="s">
        <v>2080</v>
      </c>
      <c r="F1812" t="s">
        <v>7033</v>
      </c>
      <c r="G1812" s="1">
        <v>41425</v>
      </c>
      <c r="H1812" s="1">
        <v>41481</v>
      </c>
      <c r="K1812" t="s">
        <v>8419</v>
      </c>
      <c r="L1812" t="s">
        <v>2458</v>
      </c>
      <c r="M1812" t="s">
        <v>8420</v>
      </c>
      <c r="N1812">
        <v>640.28599999999994</v>
      </c>
      <c r="O1812" t="s">
        <v>8421</v>
      </c>
      <c r="P1812" t="s">
        <v>18</v>
      </c>
    </row>
    <row r="1813" spans="1:16" x14ac:dyDescent="0.35">
      <c r="A1813">
        <v>3312526</v>
      </c>
      <c r="B1813" t="s">
        <v>8422</v>
      </c>
      <c r="C1813" t="str">
        <f>"9781466640986"</f>
        <v>9781466640986</v>
      </c>
      <c r="D1813" t="str">
        <f>"9781466640993"</f>
        <v>9781466640993</v>
      </c>
      <c r="E1813" t="s">
        <v>7189</v>
      </c>
      <c r="F1813" t="s">
        <v>7189</v>
      </c>
      <c r="G1813" s="1">
        <v>41425</v>
      </c>
      <c r="H1813" s="1">
        <v>41396</v>
      </c>
      <c r="K1813" t="s">
        <v>8423</v>
      </c>
      <c r="L1813" t="s">
        <v>41</v>
      </c>
      <c r="M1813" t="s">
        <v>8424</v>
      </c>
      <c r="N1813" t="s">
        <v>128</v>
      </c>
      <c r="O1813" t="s">
        <v>7911</v>
      </c>
      <c r="P1813" t="s">
        <v>18</v>
      </c>
    </row>
    <row r="1814" spans="1:16" x14ac:dyDescent="0.35">
      <c r="A1814">
        <v>1203981</v>
      </c>
      <c r="B1814" t="s">
        <v>8425</v>
      </c>
      <c r="C1814" t="str">
        <f>"9781442224797"</f>
        <v>9781442224797</v>
      </c>
      <c r="D1814" t="str">
        <f>"9781442224803"</f>
        <v>9781442224803</v>
      </c>
      <c r="E1814" t="s">
        <v>6849</v>
      </c>
      <c r="F1814" t="s">
        <v>6849</v>
      </c>
      <c r="G1814" s="1">
        <v>41416</v>
      </c>
      <c r="H1814" s="1">
        <v>41426</v>
      </c>
      <c r="J1814" t="s">
        <v>6850</v>
      </c>
      <c r="K1814" t="s">
        <v>8426</v>
      </c>
      <c r="L1814" t="s">
        <v>36</v>
      </c>
      <c r="M1814" t="s">
        <v>8427</v>
      </c>
      <c r="N1814">
        <v>355.02170000000001</v>
      </c>
      <c r="O1814" t="s">
        <v>8428</v>
      </c>
      <c r="P1814" t="s">
        <v>18</v>
      </c>
    </row>
    <row r="1815" spans="1:16" x14ac:dyDescent="0.35">
      <c r="A1815">
        <v>1365242</v>
      </c>
      <c r="B1815" t="s">
        <v>8429</v>
      </c>
      <c r="C1815" t="str">
        <f>"9781498510967"</f>
        <v>9781498510967</v>
      </c>
      <c r="D1815" t="str">
        <f>"9780739177181"</f>
        <v>9780739177181</v>
      </c>
      <c r="E1815" t="s">
        <v>446</v>
      </c>
      <c r="F1815" t="s">
        <v>446</v>
      </c>
      <c r="G1815" s="1">
        <v>41410</v>
      </c>
      <c r="H1815" s="1">
        <v>41515</v>
      </c>
      <c r="K1815" t="s">
        <v>8430</v>
      </c>
      <c r="L1815" t="s">
        <v>41</v>
      </c>
      <c r="M1815" t="s">
        <v>8431</v>
      </c>
      <c r="N1815">
        <v>332.4</v>
      </c>
      <c r="O1815" t="s">
        <v>8432</v>
      </c>
      <c r="P1815" t="s">
        <v>18</v>
      </c>
    </row>
    <row r="1816" spans="1:16" x14ac:dyDescent="0.35">
      <c r="A1816">
        <v>1192348</v>
      </c>
      <c r="B1816" t="s">
        <v>8433</v>
      </c>
      <c r="C1816" t="str">
        <f>"9780123750679"</f>
        <v>9780123750679</v>
      </c>
      <c r="D1816" t="str">
        <f>"9780080964522"</f>
        <v>9780080964522</v>
      </c>
      <c r="E1816" t="s">
        <v>190</v>
      </c>
      <c r="F1816" t="s">
        <v>190</v>
      </c>
      <c r="G1816" s="1">
        <v>41409</v>
      </c>
      <c r="H1816" s="1">
        <v>41420</v>
      </c>
      <c r="K1816" t="s">
        <v>8434</v>
      </c>
      <c r="L1816" t="s">
        <v>532</v>
      </c>
      <c r="M1816" t="s">
        <v>8435</v>
      </c>
      <c r="N1816">
        <v>333.70299999999997</v>
      </c>
      <c r="O1816" t="s">
        <v>8436</v>
      </c>
      <c r="P1816" t="s">
        <v>18</v>
      </c>
    </row>
    <row r="1817" spans="1:16" x14ac:dyDescent="0.35">
      <c r="A1817">
        <v>1173700</v>
      </c>
      <c r="B1817" t="s">
        <v>8437</v>
      </c>
      <c r="C1817" t="str">
        <f>"9783631615669"</f>
        <v>9783631615669</v>
      </c>
      <c r="D1817" t="str">
        <f>"9783653029499"</f>
        <v>9783653029499</v>
      </c>
      <c r="E1817" t="s">
        <v>2432</v>
      </c>
      <c r="F1817" t="s">
        <v>2432</v>
      </c>
      <c r="G1817" s="1">
        <v>41396</v>
      </c>
      <c r="H1817" s="1">
        <v>41407</v>
      </c>
      <c r="I1817">
        <v>1</v>
      </c>
      <c r="J1817" t="s">
        <v>8438</v>
      </c>
      <c r="K1817" t="s">
        <v>8439</v>
      </c>
      <c r="L1817" t="s">
        <v>202</v>
      </c>
      <c r="M1817" t="s">
        <v>8440</v>
      </c>
      <c r="N1817">
        <v>333.79230000000001</v>
      </c>
      <c r="O1817" t="s">
        <v>8441</v>
      </c>
      <c r="P1817" t="s">
        <v>315</v>
      </c>
    </row>
    <row r="1818" spans="1:16" x14ac:dyDescent="0.35">
      <c r="A1818">
        <v>1173770</v>
      </c>
      <c r="B1818" t="s">
        <v>8442</v>
      </c>
      <c r="C1818" t="str">
        <f>"9783631638866"</f>
        <v>9783631638866</v>
      </c>
      <c r="D1818" t="str">
        <f>"9783653028782"</f>
        <v>9783653028782</v>
      </c>
      <c r="E1818" t="s">
        <v>2432</v>
      </c>
      <c r="F1818" t="s">
        <v>2432</v>
      </c>
      <c r="G1818" s="1">
        <v>41396</v>
      </c>
      <c r="H1818" s="1">
        <v>41407</v>
      </c>
      <c r="I1818">
        <v>1</v>
      </c>
      <c r="J1818" t="s">
        <v>8443</v>
      </c>
      <c r="K1818" t="s">
        <v>8444</v>
      </c>
      <c r="L1818" t="s">
        <v>2569</v>
      </c>
      <c r="M1818" t="s">
        <v>8445</v>
      </c>
      <c r="N1818">
        <v>370.11</v>
      </c>
      <c r="O1818" t="s">
        <v>8446</v>
      </c>
      <c r="P1818" t="s">
        <v>315</v>
      </c>
    </row>
    <row r="1819" spans="1:16" x14ac:dyDescent="0.35">
      <c r="A1819">
        <v>1190627</v>
      </c>
      <c r="B1819" t="s">
        <v>8447</v>
      </c>
      <c r="C1819" t="str">
        <f>"9780857933683"</f>
        <v>9780857933683</v>
      </c>
      <c r="D1819" t="str">
        <f>"9780857933690"</f>
        <v>9780857933690</v>
      </c>
      <c r="E1819" t="s">
        <v>2080</v>
      </c>
      <c r="F1819" t="s">
        <v>7033</v>
      </c>
      <c r="G1819" s="1">
        <v>41394</v>
      </c>
      <c r="H1819" s="1">
        <v>41419</v>
      </c>
      <c r="J1819" t="s">
        <v>8448</v>
      </c>
      <c r="K1819" t="s">
        <v>8449</v>
      </c>
      <c r="L1819" t="s">
        <v>8450</v>
      </c>
      <c r="M1819" t="s">
        <v>8451</v>
      </c>
      <c r="N1819">
        <v>333.79</v>
      </c>
      <c r="O1819" t="s">
        <v>8452</v>
      </c>
      <c r="P1819" t="s">
        <v>18</v>
      </c>
    </row>
    <row r="1820" spans="1:16" x14ac:dyDescent="0.35">
      <c r="A1820">
        <v>1190637</v>
      </c>
      <c r="B1820" t="s">
        <v>8453</v>
      </c>
      <c r="C1820" t="str">
        <f>"9781781007075"</f>
        <v>9781781007075</v>
      </c>
      <c r="D1820" t="str">
        <f>"9781781007082"</f>
        <v>9781781007082</v>
      </c>
      <c r="E1820" t="s">
        <v>2080</v>
      </c>
      <c r="F1820" t="s">
        <v>7033</v>
      </c>
      <c r="G1820" s="1">
        <v>41394</v>
      </c>
      <c r="H1820" s="1">
        <v>41419</v>
      </c>
      <c r="I1820">
        <v>4</v>
      </c>
      <c r="K1820" t="s">
        <v>8454</v>
      </c>
      <c r="L1820" t="s">
        <v>26</v>
      </c>
      <c r="M1820" t="s">
        <v>8455</v>
      </c>
      <c r="N1820">
        <v>338.92700000000002</v>
      </c>
      <c r="O1820" t="s">
        <v>2008</v>
      </c>
      <c r="P1820" t="s">
        <v>18</v>
      </c>
    </row>
    <row r="1821" spans="1:16" x14ac:dyDescent="0.35">
      <c r="A1821">
        <v>5893687</v>
      </c>
      <c r="B1821" t="s">
        <v>8456</v>
      </c>
      <c r="C1821" t="str">
        <f>"9781616147259"</f>
        <v>9781616147259</v>
      </c>
      <c r="D1821" t="str">
        <f>"9781616147266"</f>
        <v>9781616147266</v>
      </c>
      <c r="E1821" t="s">
        <v>2941</v>
      </c>
      <c r="F1821" t="s">
        <v>2941</v>
      </c>
      <c r="G1821" s="1">
        <v>41387</v>
      </c>
      <c r="H1821" s="1">
        <v>43718</v>
      </c>
      <c r="K1821" t="s">
        <v>8457</v>
      </c>
      <c r="L1821" t="s">
        <v>532</v>
      </c>
      <c r="M1821" t="s">
        <v>8458</v>
      </c>
      <c r="N1821">
        <v>333.79399999999998</v>
      </c>
      <c r="O1821" t="s">
        <v>8459</v>
      </c>
      <c r="P1821" t="s">
        <v>18</v>
      </c>
    </row>
    <row r="1822" spans="1:16" x14ac:dyDescent="0.35">
      <c r="A1822">
        <v>1873055</v>
      </c>
      <c r="B1822" t="s">
        <v>8460</v>
      </c>
      <c r="C1822" t="str">
        <f>"9783037856000"</f>
        <v>9783037856000</v>
      </c>
      <c r="D1822" t="str">
        <f>"9783038139812"</f>
        <v>9783038139812</v>
      </c>
      <c r="E1822" t="s">
        <v>1649</v>
      </c>
      <c r="F1822" t="s">
        <v>1649</v>
      </c>
      <c r="G1822" s="1">
        <v>41381</v>
      </c>
      <c r="H1822" s="1">
        <v>41971</v>
      </c>
      <c r="I1822">
        <v>1</v>
      </c>
      <c r="J1822" t="s">
        <v>7419</v>
      </c>
      <c r="K1822" t="s">
        <v>8461</v>
      </c>
      <c r="L1822" t="s">
        <v>172</v>
      </c>
      <c r="M1822" t="s">
        <v>8462</v>
      </c>
      <c r="P1822" t="s">
        <v>18</v>
      </c>
    </row>
    <row r="1823" spans="1:16" x14ac:dyDescent="0.35">
      <c r="A1823">
        <v>1574947</v>
      </c>
      <c r="B1823" t="s">
        <v>8463</v>
      </c>
      <c r="C1823" t="str">
        <f>"9780857091314"</f>
        <v>9780857091314</v>
      </c>
      <c r="D1823" t="str">
        <f>"9780857097439"</f>
        <v>9780857097439</v>
      </c>
      <c r="E1823" t="s">
        <v>190</v>
      </c>
      <c r="F1823" t="s">
        <v>280</v>
      </c>
      <c r="G1823" s="1">
        <v>41368</v>
      </c>
      <c r="H1823" s="1">
        <v>41613</v>
      </c>
      <c r="J1823" t="s">
        <v>3018</v>
      </c>
      <c r="K1823" t="s">
        <v>8464</v>
      </c>
      <c r="L1823" t="s">
        <v>8465</v>
      </c>
      <c r="M1823" t="s">
        <v>8466</v>
      </c>
      <c r="N1823">
        <v>662.88</v>
      </c>
      <c r="O1823" t="s">
        <v>8467</v>
      </c>
      <c r="P1823" t="s">
        <v>18</v>
      </c>
    </row>
    <row r="1824" spans="1:16" x14ac:dyDescent="0.35">
      <c r="A1824">
        <v>1098136</v>
      </c>
      <c r="B1824" t="s">
        <v>8468</v>
      </c>
      <c r="C1824" t="str">
        <f>"9780749463854"</f>
        <v>9780749463854</v>
      </c>
      <c r="D1824" t="str">
        <f>"9780749463861"</f>
        <v>9780749463861</v>
      </c>
      <c r="E1824" t="s">
        <v>215</v>
      </c>
      <c r="F1824" t="s">
        <v>215</v>
      </c>
      <c r="G1824" s="1">
        <v>41367</v>
      </c>
      <c r="H1824" s="1">
        <v>41252</v>
      </c>
      <c r="I1824">
        <v>1</v>
      </c>
      <c r="K1824" t="s">
        <v>8469</v>
      </c>
      <c r="L1824" t="s">
        <v>159</v>
      </c>
      <c r="M1824" t="s">
        <v>8470</v>
      </c>
      <c r="N1824" t="s">
        <v>160</v>
      </c>
      <c r="O1824" t="s">
        <v>8471</v>
      </c>
      <c r="P1824" t="s">
        <v>18</v>
      </c>
    </row>
    <row r="1825" spans="1:16" x14ac:dyDescent="0.35">
      <c r="A1825">
        <v>3312491</v>
      </c>
      <c r="B1825" t="s">
        <v>8472</v>
      </c>
      <c r="C1825" t="str">
        <f>"9781466636071"</f>
        <v>9781466636071</v>
      </c>
      <c r="D1825" t="str">
        <f>"9781466636088"</f>
        <v>9781466636088</v>
      </c>
      <c r="E1825" t="s">
        <v>7189</v>
      </c>
      <c r="F1825" t="s">
        <v>7189</v>
      </c>
      <c r="G1825" s="1">
        <v>41364</v>
      </c>
      <c r="H1825" s="1">
        <v>41346</v>
      </c>
      <c r="K1825" t="s">
        <v>8473</v>
      </c>
      <c r="L1825" t="s">
        <v>49</v>
      </c>
      <c r="M1825" t="s">
        <v>8474</v>
      </c>
      <c r="N1825" t="s">
        <v>8475</v>
      </c>
      <c r="O1825" t="s">
        <v>8476</v>
      </c>
      <c r="P1825" t="s">
        <v>18</v>
      </c>
    </row>
    <row r="1826" spans="1:16" x14ac:dyDescent="0.35">
      <c r="A1826">
        <v>1158373</v>
      </c>
      <c r="B1826" t="s">
        <v>8477</v>
      </c>
      <c r="C1826" t="str">
        <f>"9780444563309"</f>
        <v>9780444563309</v>
      </c>
      <c r="D1826" t="str">
        <f>"9780444563323"</f>
        <v>9780444563323</v>
      </c>
      <c r="E1826" t="s">
        <v>190</v>
      </c>
      <c r="F1826" t="s">
        <v>190</v>
      </c>
      <c r="G1826" s="1">
        <v>41358</v>
      </c>
      <c r="H1826" s="1">
        <v>41355</v>
      </c>
      <c r="K1826" t="s">
        <v>8478</v>
      </c>
      <c r="L1826" t="s">
        <v>76</v>
      </c>
      <c r="M1826" t="s">
        <v>8479</v>
      </c>
      <c r="N1826">
        <v>662.88</v>
      </c>
      <c r="O1826" t="s">
        <v>8480</v>
      </c>
      <c r="P1826" t="s">
        <v>18</v>
      </c>
    </row>
    <row r="1827" spans="1:16" x14ac:dyDescent="0.35">
      <c r="A1827">
        <v>1158376</v>
      </c>
      <c r="B1827" t="s">
        <v>8481</v>
      </c>
      <c r="C1827" t="str">
        <f>"9780124077256"</f>
        <v>9780124077256</v>
      </c>
      <c r="D1827" t="str">
        <f>"9780124078291"</f>
        <v>9780124078291</v>
      </c>
      <c r="E1827" t="s">
        <v>190</v>
      </c>
      <c r="F1827" t="s">
        <v>191</v>
      </c>
      <c r="G1827" s="1">
        <v>41348</v>
      </c>
      <c r="H1827" s="1">
        <v>41355</v>
      </c>
      <c r="J1827" t="s">
        <v>291</v>
      </c>
      <c r="K1827" t="s">
        <v>8482</v>
      </c>
      <c r="L1827" t="s">
        <v>56</v>
      </c>
      <c r="M1827" t="s">
        <v>8483</v>
      </c>
      <c r="N1827">
        <v>4.0682</v>
      </c>
      <c r="O1827" t="s">
        <v>8484</v>
      </c>
      <c r="P1827" t="s">
        <v>18</v>
      </c>
    </row>
    <row r="1828" spans="1:16" x14ac:dyDescent="0.35">
      <c r="A1828">
        <v>1873039</v>
      </c>
      <c r="B1828" t="s">
        <v>8485</v>
      </c>
      <c r="C1828" t="str">
        <f>"9783037855843"</f>
        <v>9783037855843</v>
      </c>
      <c r="D1828" t="str">
        <f>"9783038139652"</f>
        <v>9783038139652</v>
      </c>
      <c r="E1828" t="s">
        <v>1649</v>
      </c>
      <c r="F1828" t="s">
        <v>1649</v>
      </c>
      <c r="G1828" s="1">
        <v>41346</v>
      </c>
      <c r="H1828" s="1">
        <v>41971</v>
      </c>
      <c r="I1828">
        <v>1</v>
      </c>
      <c r="J1828" t="s">
        <v>7419</v>
      </c>
      <c r="K1828" t="s">
        <v>8486</v>
      </c>
      <c r="L1828" t="s">
        <v>81</v>
      </c>
      <c r="M1828" t="s">
        <v>8487</v>
      </c>
      <c r="P1828" t="s">
        <v>18</v>
      </c>
    </row>
    <row r="1829" spans="1:16" x14ac:dyDescent="0.35">
      <c r="A1829">
        <v>1152877</v>
      </c>
      <c r="B1829" t="s">
        <v>8488</v>
      </c>
      <c r="C1829" t="str">
        <f>"9781847206459"</f>
        <v>9781847206459</v>
      </c>
      <c r="D1829" t="str">
        <f>"9781781009079"</f>
        <v>9781781009079</v>
      </c>
      <c r="E1829" t="s">
        <v>2080</v>
      </c>
      <c r="F1829" t="s">
        <v>7033</v>
      </c>
      <c r="G1829" s="1">
        <v>41333</v>
      </c>
      <c r="H1829" s="1">
        <v>41349</v>
      </c>
      <c r="K1829" t="s">
        <v>8489</v>
      </c>
      <c r="L1829" t="s">
        <v>202</v>
      </c>
      <c r="M1829" t="s">
        <v>8490</v>
      </c>
      <c r="N1829">
        <v>333.7</v>
      </c>
      <c r="O1829" t="s">
        <v>8491</v>
      </c>
      <c r="P1829" t="s">
        <v>18</v>
      </c>
    </row>
    <row r="1830" spans="1:16" x14ac:dyDescent="0.35">
      <c r="A1830">
        <v>1152900</v>
      </c>
      <c r="B1830" t="s">
        <v>8492</v>
      </c>
      <c r="C1830" t="str">
        <f>"9781781956083"</f>
        <v>9781781956083</v>
      </c>
      <c r="D1830" t="str">
        <f>"9781781956090"</f>
        <v>9781781956090</v>
      </c>
      <c r="E1830" t="s">
        <v>2080</v>
      </c>
      <c r="F1830" t="s">
        <v>7033</v>
      </c>
      <c r="G1830" s="1">
        <v>41333</v>
      </c>
      <c r="H1830" s="1">
        <v>41349</v>
      </c>
      <c r="K1830" t="s">
        <v>8493</v>
      </c>
      <c r="L1830" t="s">
        <v>23</v>
      </c>
      <c r="M1830" t="s">
        <v>8494</v>
      </c>
      <c r="N1830">
        <v>343.08699999999999</v>
      </c>
      <c r="O1830" t="s">
        <v>8495</v>
      </c>
      <c r="P1830" t="s">
        <v>18</v>
      </c>
    </row>
    <row r="1831" spans="1:16" x14ac:dyDescent="0.35">
      <c r="A1831">
        <v>1873023</v>
      </c>
      <c r="B1831" t="s">
        <v>8496</v>
      </c>
      <c r="C1831" t="str">
        <f>"9783037855683"</f>
        <v>9783037855683</v>
      </c>
      <c r="D1831" t="str">
        <f>"9783038139492"</f>
        <v>9783038139492</v>
      </c>
      <c r="E1831" t="s">
        <v>1649</v>
      </c>
      <c r="F1831" t="s">
        <v>1649</v>
      </c>
      <c r="G1831" s="1">
        <v>41326</v>
      </c>
      <c r="H1831" s="1">
        <v>41971</v>
      </c>
      <c r="I1831">
        <v>1</v>
      </c>
      <c r="J1831" t="s">
        <v>4195</v>
      </c>
      <c r="K1831" t="s">
        <v>8497</v>
      </c>
      <c r="L1831" t="s">
        <v>104</v>
      </c>
      <c r="M1831" t="s">
        <v>8498</v>
      </c>
      <c r="P1831" t="s">
        <v>18</v>
      </c>
    </row>
    <row r="1832" spans="1:16" x14ac:dyDescent="0.35">
      <c r="A1832">
        <v>1173780</v>
      </c>
      <c r="B1832" t="s">
        <v>8499</v>
      </c>
      <c r="C1832" t="str">
        <f>"9783631640326"</f>
        <v>9783631640326</v>
      </c>
      <c r="D1832" t="str">
        <f>"9783653023220"</f>
        <v>9783653023220</v>
      </c>
      <c r="E1832" t="s">
        <v>2432</v>
      </c>
      <c r="F1832" t="s">
        <v>2432</v>
      </c>
      <c r="G1832" s="1">
        <v>41325</v>
      </c>
      <c r="H1832" s="1">
        <v>41407</v>
      </c>
      <c r="I1832">
        <v>1</v>
      </c>
      <c r="J1832" t="s">
        <v>8500</v>
      </c>
      <c r="K1832" t="s">
        <v>8501</v>
      </c>
      <c r="L1832" t="s">
        <v>49</v>
      </c>
      <c r="M1832" t="s">
        <v>8502</v>
      </c>
      <c r="N1832">
        <v>304.2</v>
      </c>
      <c r="O1832" t="s">
        <v>8503</v>
      </c>
      <c r="P1832" t="s">
        <v>315</v>
      </c>
    </row>
    <row r="1833" spans="1:16" x14ac:dyDescent="0.35">
      <c r="A1833">
        <v>5020185</v>
      </c>
      <c r="B1833" t="s">
        <v>8504</v>
      </c>
      <c r="C1833" t="str">
        <f>"9783954043590"</f>
        <v>9783954043590</v>
      </c>
      <c r="D1833" t="str">
        <f>"9783736943599"</f>
        <v>9783736943599</v>
      </c>
      <c r="E1833" t="s">
        <v>2357</v>
      </c>
      <c r="F1833" t="s">
        <v>2357</v>
      </c>
      <c r="G1833" s="1">
        <v>41324</v>
      </c>
      <c r="H1833" s="1">
        <v>42983</v>
      </c>
      <c r="I1833">
        <v>1</v>
      </c>
      <c r="J1833" t="s">
        <v>8505</v>
      </c>
      <c r="K1833" t="s">
        <v>8506</v>
      </c>
      <c r="L1833" t="s">
        <v>41</v>
      </c>
      <c r="M1833" t="s">
        <v>353</v>
      </c>
      <c r="N1833">
        <v>338.92700000000002</v>
      </c>
      <c r="O1833" t="s">
        <v>8507</v>
      </c>
      <c r="P1833" t="s">
        <v>315</v>
      </c>
    </row>
    <row r="1834" spans="1:16" x14ac:dyDescent="0.35">
      <c r="A1834">
        <v>1102197</v>
      </c>
      <c r="B1834" t="s">
        <v>8508</v>
      </c>
      <c r="C1834" t="str">
        <f>"9780124159785"</f>
        <v>9780124159785</v>
      </c>
      <c r="D1834" t="str">
        <f>"9780123914279"</f>
        <v>9780123914279</v>
      </c>
      <c r="E1834" t="s">
        <v>190</v>
      </c>
      <c r="F1834" t="s">
        <v>191</v>
      </c>
      <c r="G1834" s="1">
        <v>41320</v>
      </c>
      <c r="H1834" s="1">
        <v>41260</v>
      </c>
      <c r="K1834" t="s">
        <v>8509</v>
      </c>
      <c r="L1834" t="s">
        <v>480</v>
      </c>
      <c r="M1834" t="s">
        <v>8510</v>
      </c>
      <c r="N1834">
        <v>333.79399999999998</v>
      </c>
      <c r="O1834" t="s">
        <v>8511</v>
      </c>
      <c r="P1834" t="s">
        <v>18</v>
      </c>
    </row>
    <row r="1835" spans="1:16" x14ac:dyDescent="0.35">
      <c r="A1835">
        <v>1873019</v>
      </c>
      <c r="B1835" t="s">
        <v>8512</v>
      </c>
      <c r="C1835" t="str">
        <f>"9783037855645"</f>
        <v>9783037855645</v>
      </c>
      <c r="D1835" t="str">
        <f>"9783038139454"</f>
        <v>9783038139454</v>
      </c>
      <c r="E1835" t="s">
        <v>1649</v>
      </c>
      <c r="F1835" t="s">
        <v>1649</v>
      </c>
      <c r="G1835" s="1">
        <v>41320</v>
      </c>
      <c r="H1835" s="1">
        <v>41971</v>
      </c>
      <c r="I1835">
        <v>1</v>
      </c>
      <c r="J1835" t="s">
        <v>4195</v>
      </c>
      <c r="K1835" t="s">
        <v>8513</v>
      </c>
      <c r="L1835" t="s">
        <v>8514</v>
      </c>
      <c r="M1835" t="s">
        <v>8515</v>
      </c>
      <c r="N1835" t="s">
        <v>8516</v>
      </c>
      <c r="P1835" t="s">
        <v>18</v>
      </c>
    </row>
    <row r="1836" spans="1:16" x14ac:dyDescent="0.35">
      <c r="A1836">
        <v>1153798</v>
      </c>
      <c r="B1836" t="s">
        <v>8517</v>
      </c>
      <c r="C1836" t="str">
        <f>"9781498510936"</f>
        <v>9781498510936</v>
      </c>
      <c r="D1836" t="str">
        <f>"9780739179895"</f>
        <v>9780739179895</v>
      </c>
      <c r="E1836" t="s">
        <v>446</v>
      </c>
      <c r="F1836" t="s">
        <v>446</v>
      </c>
      <c r="G1836" s="1">
        <v>41319</v>
      </c>
      <c r="H1836" s="1">
        <v>41493</v>
      </c>
      <c r="K1836" t="s">
        <v>8518</v>
      </c>
      <c r="L1836" t="s">
        <v>49</v>
      </c>
      <c r="M1836" t="s">
        <v>8519</v>
      </c>
      <c r="N1836">
        <v>362.55</v>
      </c>
      <c r="O1836" t="s">
        <v>8520</v>
      </c>
      <c r="P1836" t="s">
        <v>18</v>
      </c>
    </row>
    <row r="1837" spans="1:16" x14ac:dyDescent="0.35">
      <c r="A1837">
        <v>1130081</v>
      </c>
      <c r="B1837" t="s">
        <v>8521</v>
      </c>
      <c r="C1837" t="str">
        <f>"9780123847195"</f>
        <v>9780123847195</v>
      </c>
      <c r="D1837" t="str">
        <f>"9780123847201"</f>
        <v>9780123847201</v>
      </c>
      <c r="E1837" t="s">
        <v>190</v>
      </c>
      <c r="F1837" t="s">
        <v>191</v>
      </c>
      <c r="G1837" s="1">
        <v>41318</v>
      </c>
      <c r="H1837" s="1">
        <v>42341</v>
      </c>
      <c r="I1837">
        <v>2</v>
      </c>
      <c r="J1837" t="s">
        <v>8522</v>
      </c>
      <c r="K1837" t="s">
        <v>8523</v>
      </c>
      <c r="L1837" t="s">
        <v>8524</v>
      </c>
      <c r="M1837" t="s">
        <v>8525</v>
      </c>
      <c r="N1837" t="s">
        <v>8526</v>
      </c>
      <c r="O1837" t="s">
        <v>8527</v>
      </c>
      <c r="P1837" t="s">
        <v>18</v>
      </c>
    </row>
    <row r="1838" spans="1:16" x14ac:dyDescent="0.35">
      <c r="A1838">
        <v>1873003</v>
      </c>
      <c r="B1838" t="s">
        <v>8528</v>
      </c>
      <c r="C1838" t="str">
        <f>"9783037855492"</f>
        <v>9783037855492</v>
      </c>
      <c r="D1838" t="str">
        <f>"9783038139300"</f>
        <v>9783038139300</v>
      </c>
      <c r="E1838" t="s">
        <v>1649</v>
      </c>
      <c r="F1838" t="s">
        <v>1649</v>
      </c>
      <c r="G1838" s="1">
        <v>41311</v>
      </c>
      <c r="H1838" s="1">
        <v>41971</v>
      </c>
      <c r="I1838">
        <v>1</v>
      </c>
      <c r="J1838" t="s">
        <v>7419</v>
      </c>
      <c r="K1838" t="s">
        <v>8529</v>
      </c>
      <c r="L1838" t="s">
        <v>28</v>
      </c>
      <c r="M1838" t="s">
        <v>8530</v>
      </c>
      <c r="P1838" t="s">
        <v>18</v>
      </c>
    </row>
    <row r="1839" spans="1:16" x14ac:dyDescent="0.35">
      <c r="A1839">
        <v>1873004</v>
      </c>
      <c r="B1839" t="s">
        <v>8531</v>
      </c>
      <c r="C1839" t="str">
        <f>"9783037855508"</f>
        <v>9783037855508</v>
      </c>
      <c r="D1839" t="str">
        <f>"9783038139317"</f>
        <v>9783038139317</v>
      </c>
      <c r="E1839" t="s">
        <v>1649</v>
      </c>
      <c r="F1839" t="s">
        <v>1649</v>
      </c>
      <c r="G1839" s="1">
        <v>41311</v>
      </c>
      <c r="H1839" s="1">
        <v>41971</v>
      </c>
      <c r="I1839">
        <v>1</v>
      </c>
      <c r="J1839" t="s">
        <v>7419</v>
      </c>
      <c r="K1839" t="s">
        <v>8532</v>
      </c>
      <c r="L1839" t="s">
        <v>129</v>
      </c>
      <c r="M1839" t="s">
        <v>8326</v>
      </c>
      <c r="P1839" t="s">
        <v>18</v>
      </c>
    </row>
    <row r="1840" spans="1:16" x14ac:dyDescent="0.35">
      <c r="A1840">
        <v>1873006</v>
      </c>
      <c r="B1840" t="s">
        <v>8533</v>
      </c>
      <c r="C1840" t="str">
        <f>"9783037855522"</f>
        <v>9783037855522</v>
      </c>
      <c r="D1840" t="str">
        <f>"9783038139331"</f>
        <v>9783038139331</v>
      </c>
      <c r="E1840" t="s">
        <v>1649</v>
      </c>
      <c r="F1840" t="s">
        <v>1649</v>
      </c>
      <c r="G1840" s="1">
        <v>41311</v>
      </c>
      <c r="H1840" s="1">
        <v>41971</v>
      </c>
      <c r="I1840">
        <v>1</v>
      </c>
      <c r="J1840" t="s">
        <v>7419</v>
      </c>
      <c r="K1840" t="s">
        <v>8534</v>
      </c>
      <c r="L1840" t="s">
        <v>28</v>
      </c>
      <c r="M1840" t="s">
        <v>8535</v>
      </c>
      <c r="P1840" t="s">
        <v>18</v>
      </c>
    </row>
    <row r="1841" spans="1:16" x14ac:dyDescent="0.35">
      <c r="A1841">
        <v>1873015</v>
      </c>
      <c r="B1841" t="s">
        <v>8536</v>
      </c>
      <c r="C1841" t="str">
        <f>"9783037855614"</f>
        <v>9783037855614</v>
      </c>
      <c r="D1841" t="str">
        <f>"9783038139423"</f>
        <v>9783038139423</v>
      </c>
      <c r="E1841" t="s">
        <v>1649</v>
      </c>
      <c r="F1841" t="s">
        <v>1649</v>
      </c>
      <c r="G1841" s="1">
        <v>41311</v>
      </c>
      <c r="H1841" s="1">
        <v>41971</v>
      </c>
      <c r="I1841">
        <v>1</v>
      </c>
      <c r="J1841" t="s">
        <v>7419</v>
      </c>
      <c r="K1841" t="s">
        <v>8367</v>
      </c>
      <c r="L1841" t="s">
        <v>28</v>
      </c>
      <c r="M1841" t="s">
        <v>8385</v>
      </c>
      <c r="P1841" t="s">
        <v>18</v>
      </c>
    </row>
    <row r="1842" spans="1:16" x14ac:dyDescent="0.35">
      <c r="A1842">
        <v>1873018</v>
      </c>
      <c r="B1842" t="s">
        <v>8537</v>
      </c>
      <c r="C1842" t="str">
        <f>"9783037855638"</f>
        <v>9783037855638</v>
      </c>
      <c r="D1842" t="str">
        <f>"9783038139447"</f>
        <v>9783038139447</v>
      </c>
      <c r="E1842" t="s">
        <v>1649</v>
      </c>
      <c r="F1842" t="s">
        <v>1649</v>
      </c>
      <c r="G1842" s="1">
        <v>41311</v>
      </c>
      <c r="H1842" s="1">
        <v>41971</v>
      </c>
      <c r="I1842">
        <v>1</v>
      </c>
      <c r="J1842" t="s">
        <v>7419</v>
      </c>
      <c r="K1842" t="s">
        <v>8538</v>
      </c>
      <c r="L1842" t="s">
        <v>28</v>
      </c>
      <c r="M1842" t="s">
        <v>8539</v>
      </c>
      <c r="P1842" t="s">
        <v>18</v>
      </c>
    </row>
    <row r="1843" spans="1:16" x14ac:dyDescent="0.35">
      <c r="A1843">
        <v>3312483</v>
      </c>
      <c r="B1843" t="s">
        <v>8540</v>
      </c>
      <c r="C1843" t="str">
        <f>"9781466636132"</f>
        <v>9781466636132</v>
      </c>
      <c r="D1843" t="str">
        <f>"9781466636149"</f>
        <v>9781466636149</v>
      </c>
      <c r="E1843" t="s">
        <v>7189</v>
      </c>
      <c r="F1843" t="s">
        <v>7189</v>
      </c>
      <c r="G1843" s="1">
        <v>41306</v>
      </c>
      <c r="H1843" s="1">
        <v>41337</v>
      </c>
      <c r="K1843" t="s">
        <v>2410</v>
      </c>
      <c r="L1843" t="s">
        <v>89</v>
      </c>
      <c r="M1843" t="s">
        <v>8541</v>
      </c>
      <c r="N1843" t="s">
        <v>356</v>
      </c>
      <c r="O1843" t="s">
        <v>8542</v>
      </c>
      <c r="P1843" t="s">
        <v>18</v>
      </c>
    </row>
    <row r="1844" spans="1:16" x14ac:dyDescent="0.35">
      <c r="A1844">
        <v>1119686</v>
      </c>
      <c r="B1844" t="s">
        <v>8543</v>
      </c>
      <c r="C1844" t="str">
        <f>"9781781001851"</f>
        <v>9781781001851</v>
      </c>
      <c r="D1844" t="str">
        <f>"9781781001868"</f>
        <v>9781781001868</v>
      </c>
      <c r="E1844" t="s">
        <v>2080</v>
      </c>
      <c r="F1844" t="s">
        <v>7033</v>
      </c>
      <c r="G1844" s="1">
        <v>41305</v>
      </c>
      <c r="H1844" s="1">
        <v>41305</v>
      </c>
      <c r="K1844" t="s">
        <v>8544</v>
      </c>
      <c r="L1844" t="s">
        <v>28</v>
      </c>
      <c r="M1844" t="s">
        <v>8545</v>
      </c>
      <c r="N1844" t="s">
        <v>310</v>
      </c>
      <c r="O1844" t="s">
        <v>8546</v>
      </c>
      <c r="P1844" t="s">
        <v>18</v>
      </c>
    </row>
    <row r="1845" spans="1:16" x14ac:dyDescent="0.35">
      <c r="A1845">
        <v>3312349</v>
      </c>
      <c r="B1845" t="s">
        <v>8547</v>
      </c>
      <c r="C1845" t="str">
        <f>"9781466627970"</f>
        <v>9781466627970</v>
      </c>
      <c r="D1845" t="str">
        <f>"9781466627987"</f>
        <v>9781466627987</v>
      </c>
      <c r="E1845" t="s">
        <v>138</v>
      </c>
      <c r="F1845" t="s">
        <v>138</v>
      </c>
      <c r="G1845" s="1">
        <v>41305</v>
      </c>
      <c r="H1845" s="1">
        <v>41277</v>
      </c>
      <c r="K1845" t="s">
        <v>8548</v>
      </c>
      <c r="L1845" t="s">
        <v>124</v>
      </c>
      <c r="M1845" t="s">
        <v>8549</v>
      </c>
      <c r="N1845">
        <v>610.28499999999997</v>
      </c>
      <c r="O1845" t="s">
        <v>8550</v>
      </c>
      <c r="P1845" t="s">
        <v>18</v>
      </c>
    </row>
    <row r="1846" spans="1:16" x14ac:dyDescent="0.35">
      <c r="A1846">
        <v>5023578</v>
      </c>
      <c r="B1846" t="s">
        <v>8551</v>
      </c>
      <c r="C1846" t="str">
        <f>"9783954043255"</f>
        <v>9783954043255</v>
      </c>
      <c r="D1846" t="str">
        <f>"9783736943254"</f>
        <v>9783736943254</v>
      </c>
      <c r="E1846" t="s">
        <v>2357</v>
      </c>
      <c r="F1846" t="s">
        <v>2357</v>
      </c>
      <c r="G1846" s="1">
        <v>41289</v>
      </c>
      <c r="H1846" s="1">
        <v>42984</v>
      </c>
      <c r="I1846">
        <v>1</v>
      </c>
      <c r="K1846" t="s">
        <v>8552</v>
      </c>
      <c r="L1846" t="s">
        <v>168</v>
      </c>
      <c r="M1846" t="s">
        <v>8553</v>
      </c>
      <c r="N1846">
        <v>633.11</v>
      </c>
      <c r="O1846" t="s">
        <v>8554</v>
      </c>
      <c r="P1846" t="s">
        <v>18</v>
      </c>
    </row>
    <row r="1847" spans="1:16" x14ac:dyDescent="0.35">
      <c r="A1847">
        <v>1872947</v>
      </c>
      <c r="B1847" t="s">
        <v>8555</v>
      </c>
      <c r="C1847" t="str">
        <f>"9783037854938"</f>
        <v>9783037854938</v>
      </c>
      <c r="D1847" t="str">
        <f>"9783038136514"</f>
        <v>9783038136514</v>
      </c>
      <c r="E1847" t="s">
        <v>1649</v>
      </c>
      <c r="F1847" t="s">
        <v>1649</v>
      </c>
      <c r="G1847" s="1">
        <v>41288</v>
      </c>
      <c r="H1847" s="1">
        <v>41971</v>
      </c>
      <c r="I1847">
        <v>1</v>
      </c>
      <c r="J1847" t="s">
        <v>1938</v>
      </c>
      <c r="K1847" t="s">
        <v>8556</v>
      </c>
      <c r="L1847" t="s">
        <v>129</v>
      </c>
      <c r="M1847" t="s">
        <v>8557</v>
      </c>
      <c r="P1847" t="s">
        <v>18</v>
      </c>
    </row>
    <row r="1848" spans="1:16" x14ac:dyDescent="0.35">
      <c r="A1848">
        <v>6282553</v>
      </c>
      <c r="B1848" t="s">
        <v>8558</v>
      </c>
      <c r="C1848" t="str">
        <f>"9781905679294"</f>
        <v>9781905679294</v>
      </c>
      <c r="D1848" t="str">
        <f>"9789004397163"</f>
        <v>9789004397163</v>
      </c>
      <c r="E1848" t="s">
        <v>228</v>
      </c>
      <c r="F1848" t="s">
        <v>228</v>
      </c>
      <c r="G1848" s="1">
        <v>41275</v>
      </c>
      <c r="H1848" s="1">
        <v>44054</v>
      </c>
      <c r="I1848">
        <v>1</v>
      </c>
      <c r="J1848" t="s">
        <v>8559</v>
      </c>
      <c r="K1848" t="s">
        <v>8560</v>
      </c>
      <c r="L1848" t="s">
        <v>37</v>
      </c>
      <c r="M1848" t="s">
        <v>8561</v>
      </c>
      <c r="N1848">
        <v>261.88088289939998</v>
      </c>
      <c r="O1848" t="s">
        <v>8562</v>
      </c>
      <c r="P1848" t="s">
        <v>18</v>
      </c>
    </row>
    <row r="1849" spans="1:16" x14ac:dyDescent="0.35">
      <c r="A1849">
        <v>1872988</v>
      </c>
      <c r="B1849" t="s">
        <v>8563</v>
      </c>
      <c r="C1849" t="str">
        <f>"9783037855348"</f>
        <v>9783037855348</v>
      </c>
      <c r="D1849" t="str">
        <f>"9783038139157"</f>
        <v>9783038139157</v>
      </c>
      <c r="E1849" t="s">
        <v>1649</v>
      </c>
      <c r="F1849" t="s">
        <v>1649</v>
      </c>
      <c r="G1849" s="1">
        <v>41267</v>
      </c>
      <c r="H1849" s="1">
        <v>41971</v>
      </c>
      <c r="I1849">
        <v>1</v>
      </c>
      <c r="J1849" t="s">
        <v>4195</v>
      </c>
      <c r="K1849" t="s">
        <v>8564</v>
      </c>
      <c r="L1849" t="s">
        <v>61</v>
      </c>
      <c r="M1849" t="s">
        <v>8565</v>
      </c>
      <c r="P1849" t="s">
        <v>18</v>
      </c>
    </row>
    <row r="1850" spans="1:16" x14ac:dyDescent="0.35">
      <c r="A1850">
        <v>1074426</v>
      </c>
      <c r="B1850" t="s">
        <v>8566</v>
      </c>
      <c r="C1850" t="str">
        <f>"9780080966687"</f>
        <v>9780080966687</v>
      </c>
      <c r="D1850" t="str">
        <f>"9780080966694"</f>
        <v>9780080966694</v>
      </c>
      <c r="E1850" t="s">
        <v>190</v>
      </c>
      <c r="F1850" t="s">
        <v>282</v>
      </c>
      <c r="G1850" s="1">
        <v>41263</v>
      </c>
      <c r="H1850" s="1">
        <v>42341</v>
      </c>
      <c r="I1850">
        <v>4</v>
      </c>
      <c r="J1850" t="s">
        <v>291</v>
      </c>
      <c r="K1850" t="s">
        <v>8567</v>
      </c>
      <c r="L1850" t="s">
        <v>58</v>
      </c>
      <c r="M1850" t="s">
        <v>8568</v>
      </c>
      <c r="N1850">
        <v>620.11</v>
      </c>
      <c r="O1850" t="s">
        <v>8569</v>
      </c>
      <c r="P1850" t="s">
        <v>18</v>
      </c>
    </row>
    <row r="1851" spans="1:16" x14ac:dyDescent="0.35">
      <c r="A1851">
        <v>4007995</v>
      </c>
      <c r="B1851" t="s">
        <v>8570</v>
      </c>
      <c r="C1851" t="str">
        <f>"9780230390584"</f>
        <v>9780230390584</v>
      </c>
      <c r="D1851" t="str">
        <f>"9780230390591"</f>
        <v>9780230390591</v>
      </c>
      <c r="E1851" t="s">
        <v>354</v>
      </c>
      <c r="F1851" t="s">
        <v>540</v>
      </c>
      <c r="G1851" s="1">
        <v>41249</v>
      </c>
      <c r="H1851" s="1">
        <v>42302</v>
      </c>
      <c r="K1851" t="s">
        <v>8571</v>
      </c>
      <c r="L1851" t="s">
        <v>84</v>
      </c>
      <c r="M1851" t="s">
        <v>8572</v>
      </c>
      <c r="N1851">
        <v>690.02859999999998</v>
      </c>
      <c r="O1851" t="s">
        <v>8573</v>
      </c>
      <c r="P1851" t="s">
        <v>18</v>
      </c>
    </row>
    <row r="1852" spans="1:16" x14ac:dyDescent="0.35">
      <c r="A1852">
        <v>1345313</v>
      </c>
      <c r="B1852" t="s">
        <v>8574</v>
      </c>
      <c r="C1852" t="str">
        <f>"9783486704518"</f>
        <v>9783486704518</v>
      </c>
      <c r="D1852" t="str">
        <f>"9783486710984"</f>
        <v>9783486710984</v>
      </c>
      <c r="E1852" t="s">
        <v>404</v>
      </c>
      <c r="F1852" t="s">
        <v>4430</v>
      </c>
      <c r="G1852" s="1">
        <v>41248</v>
      </c>
      <c r="H1852" s="1">
        <v>41766</v>
      </c>
      <c r="I1852">
        <v>4</v>
      </c>
      <c r="K1852" t="s">
        <v>8575</v>
      </c>
      <c r="L1852" t="s">
        <v>64</v>
      </c>
      <c r="M1852" t="s">
        <v>8576</v>
      </c>
      <c r="N1852">
        <v>338.47910000000002</v>
      </c>
      <c r="O1852" t="s">
        <v>8577</v>
      </c>
      <c r="P1852" t="s">
        <v>315</v>
      </c>
    </row>
    <row r="1853" spans="1:16" x14ac:dyDescent="0.35">
      <c r="A1853">
        <v>5165173</v>
      </c>
      <c r="B1853" t="s">
        <v>8578</v>
      </c>
      <c r="C1853" t="str">
        <f>"9781412982849"</f>
        <v>9781412982849</v>
      </c>
      <c r="D1853" t="str">
        <f>"9781506318899"</f>
        <v>9781506318899</v>
      </c>
      <c r="E1853" t="s">
        <v>413</v>
      </c>
      <c r="F1853" t="s">
        <v>413</v>
      </c>
      <c r="G1853" s="1">
        <v>41248</v>
      </c>
      <c r="H1853" s="1">
        <v>43069</v>
      </c>
      <c r="I1853">
        <v>1</v>
      </c>
      <c r="K1853" t="s">
        <v>8579</v>
      </c>
      <c r="L1853" t="s">
        <v>400</v>
      </c>
      <c r="M1853" t="s">
        <v>461</v>
      </c>
      <c r="N1853">
        <v>974.71</v>
      </c>
      <c r="P1853" t="s">
        <v>18</v>
      </c>
    </row>
    <row r="1854" spans="1:16" x14ac:dyDescent="0.35">
      <c r="A1854">
        <v>1094142</v>
      </c>
      <c r="B1854" t="s">
        <v>8580</v>
      </c>
      <c r="C1854" t="str">
        <f>"9781848448186"</f>
        <v>9781848448186</v>
      </c>
      <c r="D1854" t="str">
        <f>"9781781006160"</f>
        <v>9781781006160</v>
      </c>
      <c r="E1854" t="s">
        <v>2080</v>
      </c>
      <c r="F1854" t="s">
        <v>7033</v>
      </c>
      <c r="G1854" s="1">
        <v>41243</v>
      </c>
      <c r="H1854" s="1">
        <v>41318</v>
      </c>
      <c r="K1854" t="s">
        <v>8581</v>
      </c>
      <c r="L1854" t="s">
        <v>8582</v>
      </c>
      <c r="M1854" t="s">
        <v>8583</v>
      </c>
      <c r="N1854">
        <v>551.46</v>
      </c>
      <c r="O1854" t="s">
        <v>8584</v>
      </c>
      <c r="P1854" t="s">
        <v>18</v>
      </c>
    </row>
    <row r="1855" spans="1:16" x14ac:dyDescent="0.35">
      <c r="A1855">
        <v>1073018</v>
      </c>
      <c r="B1855" t="s">
        <v>8585</v>
      </c>
      <c r="C1855" t="str">
        <f>"9780123965288"</f>
        <v>9780123965288</v>
      </c>
      <c r="D1855" t="str">
        <f>"9780123965097"</f>
        <v>9780123965097</v>
      </c>
      <c r="E1855" t="s">
        <v>190</v>
      </c>
      <c r="F1855" t="s">
        <v>191</v>
      </c>
      <c r="G1855" s="1">
        <v>41236</v>
      </c>
      <c r="H1855" s="1">
        <v>41228</v>
      </c>
      <c r="J1855" t="s">
        <v>291</v>
      </c>
      <c r="K1855" t="s">
        <v>8586</v>
      </c>
      <c r="L1855" t="s">
        <v>56</v>
      </c>
      <c r="M1855" t="s">
        <v>8587</v>
      </c>
      <c r="N1855">
        <v>4.0682</v>
      </c>
      <c r="O1855" t="s">
        <v>8588</v>
      </c>
      <c r="P1855" t="s">
        <v>18</v>
      </c>
    </row>
    <row r="1856" spans="1:16" x14ac:dyDescent="0.35">
      <c r="A1856">
        <v>5021831</v>
      </c>
      <c r="B1856" t="s">
        <v>8589</v>
      </c>
      <c r="C1856" t="str">
        <f>"9783954042821"</f>
        <v>9783954042821</v>
      </c>
      <c r="D1856" t="str">
        <f>"9783736942820"</f>
        <v>9783736942820</v>
      </c>
      <c r="E1856" t="s">
        <v>2357</v>
      </c>
      <c r="F1856" t="s">
        <v>2357</v>
      </c>
      <c r="G1856" s="1">
        <v>41234</v>
      </c>
      <c r="H1856" s="1">
        <v>42983</v>
      </c>
      <c r="I1856">
        <v>1</v>
      </c>
      <c r="K1856" t="s">
        <v>8590</v>
      </c>
      <c r="L1856" t="s">
        <v>144</v>
      </c>
      <c r="M1856" t="s">
        <v>8591</v>
      </c>
      <c r="N1856">
        <v>579.36199999999894</v>
      </c>
      <c r="O1856" t="s">
        <v>8592</v>
      </c>
      <c r="P1856" t="s">
        <v>18</v>
      </c>
    </row>
    <row r="1857" spans="1:16" x14ac:dyDescent="0.35">
      <c r="A1857">
        <v>1872948</v>
      </c>
      <c r="B1857" t="s">
        <v>8593</v>
      </c>
      <c r="C1857" t="str">
        <f>"9783037854945"</f>
        <v>9783037854945</v>
      </c>
      <c r="D1857" t="str">
        <f>"9783038136521"</f>
        <v>9783038136521</v>
      </c>
      <c r="E1857" t="s">
        <v>1649</v>
      </c>
      <c r="F1857" t="s">
        <v>1649</v>
      </c>
      <c r="G1857" s="1">
        <v>41228</v>
      </c>
      <c r="H1857" s="1">
        <v>41971</v>
      </c>
      <c r="I1857">
        <v>1</v>
      </c>
      <c r="J1857" t="s">
        <v>7419</v>
      </c>
      <c r="K1857" t="s">
        <v>8594</v>
      </c>
      <c r="L1857" t="s">
        <v>105</v>
      </c>
      <c r="M1857" t="s">
        <v>8595</v>
      </c>
      <c r="P1857" t="s">
        <v>18</v>
      </c>
    </row>
    <row r="1858" spans="1:16" x14ac:dyDescent="0.35">
      <c r="A1858">
        <v>1872950</v>
      </c>
      <c r="B1858" t="s">
        <v>8596</v>
      </c>
      <c r="C1858" t="str">
        <f>"9783037854969"</f>
        <v>9783037854969</v>
      </c>
      <c r="D1858" t="str">
        <f>"9783038136552"</f>
        <v>9783038136552</v>
      </c>
      <c r="E1858" t="s">
        <v>1649</v>
      </c>
      <c r="F1858" t="s">
        <v>1649</v>
      </c>
      <c r="G1858" s="1">
        <v>41228</v>
      </c>
      <c r="H1858" s="1">
        <v>41971</v>
      </c>
      <c r="I1858">
        <v>1</v>
      </c>
      <c r="J1858" t="s">
        <v>4195</v>
      </c>
      <c r="K1858" t="s">
        <v>8597</v>
      </c>
      <c r="L1858" t="s">
        <v>7259</v>
      </c>
      <c r="P1858" t="s">
        <v>18</v>
      </c>
    </row>
    <row r="1859" spans="1:16" x14ac:dyDescent="0.35">
      <c r="A1859">
        <v>1108007</v>
      </c>
      <c r="B1859" t="s">
        <v>8598</v>
      </c>
      <c r="C1859" t="str">
        <f>"9781608055388"</f>
        <v>9781608055388</v>
      </c>
      <c r="D1859" t="str">
        <f>"9781608052691"</f>
        <v>9781608052691</v>
      </c>
      <c r="E1859" t="s">
        <v>475</v>
      </c>
      <c r="F1859" t="s">
        <v>8599</v>
      </c>
      <c r="G1859" s="1">
        <v>41224</v>
      </c>
      <c r="H1859" s="1">
        <v>41278</v>
      </c>
      <c r="I1859">
        <v>1</v>
      </c>
      <c r="K1859" t="s">
        <v>8600</v>
      </c>
      <c r="L1859" t="s">
        <v>113</v>
      </c>
      <c r="M1859" t="s">
        <v>8601</v>
      </c>
      <c r="N1859">
        <v>628.41999999999996</v>
      </c>
      <c r="O1859" t="s">
        <v>8602</v>
      </c>
      <c r="P1859" t="s">
        <v>18</v>
      </c>
    </row>
    <row r="1860" spans="1:16" x14ac:dyDescent="0.35">
      <c r="A1860">
        <v>1575030</v>
      </c>
      <c r="B1860" t="s">
        <v>8603</v>
      </c>
      <c r="C1860" t="str">
        <f>"9780857094568"</f>
        <v>9780857094568</v>
      </c>
      <c r="D1860" t="str">
        <f>"9780857094575"</f>
        <v>9780857094575</v>
      </c>
      <c r="E1860" t="s">
        <v>190</v>
      </c>
      <c r="F1860" t="s">
        <v>280</v>
      </c>
      <c r="G1860" s="1">
        <v>41219</v>
      </c>
      <c r="H1860" s="1">
        <v>41871</v>
      </c>
      <c r="K1860" t="s">
        <v>8604</v>
      </c>
      <c r="L1860" t="s">
        <v>165</v>
      </c>
      <c r="M1860" t="s">
        <v>8605</v>
      </c>
      <c r="N1860">
        <v>629.22900000000004</v>
      </c>
      <c r="O1860" t="s">
        <v>8606</v>
      </c>
      <c r="P1860" t="s">
        <v>18</v>
      </c>
    </row>
    <row r="1861" spans="1:16" x14ac:dyDescent="0.35">
      <c r="A1861">
        <v>1061966</v>
      </c>
      <c r="B1861" t="s">
        <v>8607</v>
      </c>
      <c r="C1861" t="str">
        <f>"9780124071964"</f>
        <v>9780124071964</v>
      </c>
      <c r="D1861" t="str">
        <f>"9780124072442"</f>
        <v>9780124072442</v>
      </c>
      <c r="E1861" t="s">
        <v>190</v>
      </c>
      <c r="F1861" t="s">
        <v>191</v>
      </c>
      <c r="G1861" s="1">
        <v>41218</v>
      </c>
      <c r="H1861" s="1">
        <v>41222</v>
      </c>
      <c r="K1861" t="s">
        <v>8608</v>
      </c>
      <c r="L1861" t="s">
        <v>41</v>
      </c>
      <c r="M1861" t="s">
        <v>8609</v>
      </c>
      <c r="N1861">
        <v>338.92700000000002</v>
      </c>
      <c r="O1861" t="s">
        <v>8610</v>
      </c>
      <c r="P1861" t="s">
        <v>18</v>
      </c>
    </row>
    <row r="1862" spans="1:16" x14ac:dyDescent="0.35">
      <c r="A1862">
        <v>1129116</v>
      </c>
      <c r="B1862" t="s">
        <v>8611</v>
      </c>
      <c r="C1862" t="str">
        <f>"9783631625606"</f>
        <v>9783631625606</v>
      </c>
      <c r="D1862" t="str">
        <f>"9783653022834"</f>
        <v>9783653022834</v>
      </c>
      <c r="E1862" t="s">
        <v>2432</v>
      </c>
      <c r="F1862" t="s">
        <v>2432</v>
      </c>
      <c r="G1862" s="1">
        <v>41215</v>
      </c>
      <c r="H1862" s="1">
        <v>41335</v>
      </c>
      <c r="I1862">
        <v>1</v>
      </c>
      <c r="J1862" t="s">
        <v>7950</v>
      </c>
      <c r="K1862" t="s">
        <v>8190</v>
      </c>
      <c r="L1862" t="s">
        <v>2569</v>
      </c>
      <c r="M1862" t="s">
        <v>8612</v>
      </c>
      <c r="N1862">
        <v>363.7</v>
      </c>
      <c r="O1862" t="s">
        <v>8613</v>
      </c>
      <c r="P1862" t="s">
        <v>18</v>
      </c>
    </row>
    <row r="1863" spans="1:16" x14ac:dyDescent="0.35">
      <c r="A1863">
        <v>1048857</v>
      </c>
      <c r="B1863" t="s">
        <v>8614</v>
      </c>
      <c r="C1863" t="str">
        <f>"9780123971784"</f>
        <v>9780123971784</v>
      </c>
      <c r="D1863" t="str">
        <f>"9780123977731"</f>
        <v>9780123977731</v>
      </c>
      <c r="E1863" t="s">
        <v>1699</v>
      </c>
      <c r="F1863" t="s">
        <v>1699</v>
      </c>
      <c r="G1863" s="1">
        <v>41214</v>
      </c>
      <c r="H1863" s="1">
        <v>41209</v>
      </c>
      <c r="K1863" t="s">
        <v>8615</v>
      </c>
      <c r="L1863" t="s">
        <v>3631</v>
      </c>
      <c r="M1863" t="s">
        <v>8616</v>
      </c>
      <c r="N1863" t="s">
        <v>423</v>
      </c>
      <c r="O1863" t="s">
        <v>8617</v>
      </c>
      <c r="P1863" t="s">
        <v>18</v>
      </c>
    </row>
    <row r="1864" spans="1:16" x14ac:dyDescent="0.35">
      <c r="A1864">
        <v>1081537</v>
      </c>
      <c r="B1864" t="s">
        <v>8618</v>
      </c>
      <c r="C1864" t="str">
        <f>"9789004196025"</f>
        <v>9789004196025</v>
      </c>
      <c r="D1864" t="str">
        <f>"9789004196032"</f>
        <v>9789004196032</v>
      </c>
      <c r="E1864" t="s">
        <v>228</v>
      </c>
      <c r="F1864" t="s">
        <v>228</v>
      </c>
      <c r="G1864" s="1">
        <v>41214</v>
      </c>
      <c r="H1864" s="1">
        <v>41241</v>
      </c>
      <c r="I1864">
        <v>1</v>
      </c>
      <c r="J1864" t="s">
        <v>484</v>
      </c>
      <c r="K1864" t="s">
        <v>8619</v>
      </c>
      <c r="L1864" t="s">
        <v>23</v>
      </c>
      <c r="M1864" t="s">
        <v>8620</v>
      </c>
      <c r="N1864">
        <v>343.07691999999997</v>
      </c>
      <c r="O1864" t="s">
        <v>8621</v>
      </c>
      <c r="P1864" t="s">
        <v>18</v>
      </c>
    </row>
    <row r="1865" spans="1:16" x14ac:dyDescent="0.35">
      <c r="A1865">
        <v>3312341</v>
      </c>
      <c r="B1865" t="s">
        <v>8622</v>
      </c>
      <c r="C1865" t="str">
        <f>"9781466628427"</f>
        <v>9781466628427</v>
      </c>
      <c r="D1865" t="str">
        <f>"9781466628434"</f>
        <v>9781466628434</v>
      </c>
      <c r="E1865" t="s">
        <v>138</v>
      </c>
      <c r="F1865" t="s">
        <v>138</v>
      </c>
      <c r="G1865" s="1">
        <v>41214</v>
      </c>
      <c r="H1865" s="1">
        <v>41254</v>
      </c>
      <c r="K1865" t="s">
        <v>8623</v>
      </c>
      <c r="L1865" t="s">
        <v>41</v>
      </c>
      <c r="M1865" t="s">
        <v>8624</v>
      </c>
      <c r="N1865">
        <v>338.92700000000002</v>
      </c>
      <c r="O1865" t="s">
        <v>8625</v>
      </c>
      <c r="P1865" t="s">
        <v>18</v>
      </c>
    </row>
    <row r="1866" spans="1:16" x14ac:dyDescent="0.35">
      <c r="A1866">
        <v>1129486</v>
      </c>
      <c r="B1866" t="s">
        <v>8626</v>
      </c>
      <c r="C1866" t="str">
        <f>"9783631584262"</f>
        <v>9783631584262</v>
      </c>
      <c r="D1866" t="str">
        <f>"9783653022674"</f>
        <v>9783653022674</v>
      </c>
      <c r="E1866" t="s">
        <v>2432</v>
      </c>
      <c r="F1866" t="s">
        <v>2432</v>
      </c>
      <c r="G1866" s="1">
        <v>41213</v>
      </c>
      <c r="H1866" s="1">
        <v>41335</v>
      </c>
      <c r="I1866">
        <v>1</v>
      </c>
      <c r="J1866" t="s">
        <v>8627</v>
      </c>
      <c r="K1866" t="s">
        <v>8628</v>
      </c>
      <c r="L1866" t="s">
        <v>66</v>
      </c>
      <c r="M1866" t="s">
        <v>8629</v>
      </c>
      <c r="N1866">
        <v>333.91</v>
      </c>
      <c r="O1866" t="s">
        <v>8630</v>
      </c>
      <c r="P1866" t="s">
        <v>315</v>
      </c>
    </row>
    <row r="1867" spans="1:16" x14ac:dyDescent="0.35">
      <c r="A1867">
        <v>1047937</v>
      </c>
      <c r="B1867" t="s">
        <v>8631</v>
      </c>
      <c r="C1867" t="str">
        <f>"9780080994437"</f>
        <v>9780080994437</v>
      </c>
      <c r="D1867" t="str">
        <f>"9780080977676"</f>
        <v>9780080977676</v>
      </c>
      <c r="E1867" t="s">
        <v>1699</v>
      </c>
      <c r="F1867" t="s">
        <v>1699</v>
      </c>
      <c r="G1867" s="1">
        <v>41208</v>
      </c>
      <c r="H1867" s="1">
        <v>41206</v>
      </c>
      <c r="J1867" t="s">
        <v>291</v>
      </c>
      <c r="K1867" t="s">
        <v>8632</v>
      </c>
      <c r="L1867" t="s">
        <v>66</v>
      </c>
      <c r="M1867" t="s">
        <v>8633</v>
      </c>
      <c r="N1867">
        <v>333.82321409712301</v>
      </c>
      <c r="O1867" t="s">
        <v>8634</v>
      </c>
      <c r="P1867" t="s">
        <v>18</v>
      </c>
    </row>
    <row r="1868" spans="1:16" x14ac:dyDescent="0.35">
      <c r="A1868">
        <v>1872929</v>
      </c>
      <c r="B1868" t="s">
        <v>8635</v>
      </c>
      <c r="C1868" t="str">
        <f>"9783037854853"</f>
        <v>9783037854853</v>
      </c>
      <c r="D1868" t="str">
        <f>"9783038139010"</f>
        <v>9783038139010</v>
      </c>
      <c r="E1868" t="s">
        <v>1649</v>
      </c>
      <c r="F1868" t="s">
        <v>1649</v>
      </c>
      <c r="G1868" s="1">
        <v>41206</v>
      </c>
      <c r="H1868" s="1">
        <v>41971</v>
      </c>
      <c r="I1868">
        <v>1</v>
      </c>
      <c r="J1868" t="s">
        <v>4195</v>
      </c>
      <c r="K1868" t="s">
        <v>8636</v>
      </c>
      <c r="L1868" t="s">
        <v>61</v>
      </c>
      <c r="M1868" t="s">
        <v>8637</v>
      </c>
      <c r="P1868" t="s">
        <v>18</v>
      </c>
    </row>
    <row r="1869" spans="1:16" x14ac:dyDescent="0.35">
      <c r="A1869">
        <v>1213944</v>
      </c>
      <c r="B1869" t="s">
        <v>8638</v>
      </c>
      <c r="C1869" t="str">
        <f>"9781845117962"</f>
        <v>9781845117962</v>
      </c>
      <c r="D1869" t="str">
        <f>"9780857722171"</f>
        <v>9780857722171</v>
      </c>
      <c r="E1869" t="s">
        <v>460</v>
      </c>
      <c r="F1869" t="s">
        <v>460</v>
      </c>
      <c r="G1869" s="1">
        <v>41182</v>
      </c>
      <c r="H1869" s="1">
        <v>42346</v>
      </c>
      <c r="I1869">
        <v>1</v>
      </c>
      <c r="J1869" t="s">
        <v>8639</v>
      </c>
      <c r="K1869" t="s">
        <v>8640</v>
      </c>
      <c r="L1869" t="s">
        <v>38</v>
      </c>
      <c r="M1869" t="s">
        <v>8641</v>
      </c>
      <c r="N1869">
        <v>307.76</v>
      </c>
      <c r="O1869" t="s">
        <v>8642</v>
      </c>
      <c r="P1869" t="s">
        <v>18</v>
      </c>
    </row>
    <row r="1870" spans="1:16" x14ac:dyDescent="0.35">
      <c r="A1870">
        <v>1054736</v>
      </c>
      <c r="B1870" t="s">
        <v>8643</v>
      </c>
      <c r="C1870" t="str">
        <f>"9783631614808"</f>
        <v>9783631614808</v>
      </c>
      <c r="D1870" t="str">
        <f>"9783653010046"</f>
        <v>9783653010046</v>
      </c>
      <c r="E1870" t="s">
        <v>2432</v>
      </c>
      <c r="F1870" t="s">
        <v>2432</v>
      </c>
      <c r="G1870" s="1">
        <v>41180</v>
      </c>
      <c r="H1870" s="1">
        <v>41213</v>
      </c>
      <c r="I1870">
        <v>1</v>
      </c>
      <c r="J1870" t="s">
        <v>8644</v>
      </c>
      <c r="K1870" t="s">
        <v>8645</v>
      </c>
      <c r="L1870" t="s">
        <v>41</v>
      </c>
      <c r="M1870" t="s">
        <v>8646</v>
      </c>
      <c r="N1870" t="s">
        <v>8647</v>
      </c>
      <c r="O1870" t="s">
        <v>8648</v>
      </c>
      <c r="P1870" t="s">
        <v>18</v>
      </c>
    </row>
    <row r="1871" spans="1:16" x14ac:dyDescent="0.35">
      <c r="A1871">
        <v>1584601</v>
      </c>
      <c r="B1871" t="s">
        <v>8649</v>
      </c>
      <c r="C1871" t="str">
        <f>"9780857090591"</f>
        <v>9780857090591</v>
      </c>
      <c r="D1871" t="str">
        <f>"9780857096371"</f>
        <v>9780857096371</v>
      </c>
      <c r="E1871" t="s">
        <v>190</v>
      </c>
      <c r="F1871" t="s">
        <v>280</v>
      </c>
      <c r="G1871" s="1">
        <v>41180</v>
      </c>
      <c r="H1871" s="1">
        <v>41635</v>
      </c>
      <c r="J1871" t="s">
        <v>3018</v>
      </c>
      <c r="K1871" t="s">
        <v>8650</v>
      </c>
      <c r="L1871" t="s">
        <v>472</v>
      </c>
      <c r="M1871" t="s">
        <v>8651</v>
      </c>
      <c r="N1871">
        <v>621.30283999999995</v>
      </c>
      <c r="O1871" t="s">
        <v>8652</v>
      </c>
      <c r="P1871" t="s">
        <v>18</v>
      </c>
    </row>
    <row r="1872" spans="1:16" x14ac:dyDescent="0.35">
      <c r="A1872">
        <v>1872911</v>
      </c>
      <c r="B1872" t="s">
        <v>8653</v>
      </c>
      <c r="C1872" t="str">
        <f>"9783037854662"</f>
        <v>9783037854662</v>
      </c>
      <c r="D1872" t="str">
        <f>"9783038138822"</f>
        <v>9783038138822</v>
      </c>
      <c r="E1872" t="s">
        <v>1649</v>
      </c>
      <c r="F1872" t="s">
        <v>1649</v>
      </c>
      <c r="G1872" s="1">
        <v>41178</v>
      </c>
      <c r="H1872" s="1">
        <v>41971</v>
      </c>
      <c r="I1872">
        <v>1</v>
      </c>
      <c r="J1872" t="s">
        <v>4195</v>
      </c>
      <c r="K1872" t="s">
        <v>8296</v>
      </c>
      <c r="L1872" t="s">
        <v>84</v>
      </c>
      <c r="M1872" t="s">
        <v>8654</v>
      </c>
      <c r="P1872" t="s">
        <v>18</v>
      </c>
    </row>
    <row r="1873" spans="1:16" x14ac:dyDescent="0.35">
      <c r="A1873">
        <v>1584604</v>
      </c>
      <c r="B1873" t="s">
        <v>8655</v>
      </c>
      <c r="C1873" t="str">
        <f>"9780857091321"</f>
        <v>9780857091321</v>
      </c>
      <c r="D1873" t="str">
        <f>"9780857097194"</f>
        <v>9780857097194</v>
      </c>
      <c r="E1873" t="s">
        <v>190</v>
      </c>
      <c r="F1873" t="s">
        <v>280</v>
      </c>
      <c r="G1873" s="1">
        <v>41172</v>
      </c>
      <c r="H1873" s="1">
        <v>41635</v>
      </c>
      <c r="J1873" t="s">
        <v>3018</v>
      </c>
      <c r="K1873" t="s">
        <v>8656</v>
      </c>
      <c r="L1873" t="s">
        <v>7474</v>
      </c>
      <c r="M1873" t="s">
        <v>8657</v>
      </c>
      <c r="N1873">
        <v>621.4837</v>
      </c>
      <c r="O1873" t="s">
        <v>8658</v>
      </c>
      <c r="P1873" t="s">
        <v>18</v>
      </c>
    </row>
    <row r="1874" spans="1:16" x14ac:dyDescent="0.35">
      <c r="A1874">
        <v>1872893</v>
      </c>
      <c r="B1874" t="s">
        <v>8659</v>
      </c>
      <c r="C1874" t="str">
        <f>"9783037854488"</f>
        <v>9783037854488</v>
      </c>
      <c r="D1874" t="str">
        <f>"9783038138624"</f>
        <v>9783038138624</v>
      </c>
      <c r="E1874" t="s">
        <v>1649</v>
      </c>
      <c r="F1874" t="s">
        <v>1649</v>
      </c>
      <c r="G1874" s="1">
        <v>41171</v>
      </c>
      <c r="H1874" s="1">
        <v>41971</v>
      </c>
      <c r="I1874">
        <v>1</v>
      </c>
      <c r="J1874" t="s">
        <v>7419</v>
      </c>
      <c r="K1874" t="s">
        <v>8660</v>
      </c>
      <c r="L1874" t="s">
        <v>81</v>
      </c>
      <c r="M1874" t="s">
        <v>8661</v>
      </c>
      <c r="P1874" t="s">
        <v>18</v>
      </c>
    </row>
    <row r="1875" spans="1:16" x14ac:dyDescent="0.35">
      <c r="A1875">
        <v>1995270</v>
      </c>
      <c r="B1875" t="s">
        <v>8662</v>
      </c>
      <c r="C1875" t="str">
        <f>"9781412981507"</f>
        <v>9781412981507</v>
      </c>
      <c r="D1875" t="str">
        <f>"9781412981514"</f>
        <v>9781412981514</v>
      </c>
      <c r="E1875" t="s">
        <v>413</v>
      </c>
      <c r="F1875" t="s">
        <v>413</v>
      </c>
      <c r="G1875" s="1">
        <v>41171</v>
      </c>
      <c r="H1875" s="1">
        <v>42124</v>
      </c>
      <c r="I1875">
        <v>1</v>
      </c>
      <c r="K1875" t="s">
        <v>8663</v>
      </c>
      <c r="L1875" t="s">
        <v>105</v>
      </c>
      <c r="M1875" t="s">
        <v>8664</v>
      </c>
      <c r="N1875">
        <v>363.7</v>
      </c>
      <c r="O1875" t="s">
        <v>8665</v>
      </c>
      <c r="P1875" t="s">
        <v>18</v>
      </c>
    </row>
    <row r="1876" spans="1:16" x14ac:dyDescent="0.35">
      <c r="A1876">
        <v>1872868</v>
      </c>
      <c r="B1876" t="s">
        <v>8666</v>
      </c>
      <c r="C1876" t="str">
        <f>"9783037854235"</f>
        <v>9783037854235</v>
      </c>
      <c r="D1876" t="str">
        <f>"9783038138372"</f>
        <v>9783038138372</v>
      </c>
      <c r="E1876" t="s">
        <v>1649</v>
      </c>
      <c r="F1876" t="s">
        <v>1649</v>
      </c>
      <c r="G1876" s="1">
        <v>41167</v>
      </c>
      <c r="H1876" s="1">
        <v>41971</v>
      </c>
      <c r="I1876">
        <v>1</v>
      </c>
      <c r="J1876" t="s">
        <v>4195</v>
      </c>
      <c r="K1876" t="s">
        <v>8667</v>
      </c>
      <c r="L1876" t="s">
        <v>93</v>
      </c>
      <c r="M1876" t="s">
        <v>8668</v>
      </c>
      <c r="P1876" t="s">
        <v>18</v>
      </c>
    </row>
    <row r="1877" spans="1:16" x14ac:dyDescent="0.35">
      <c r="A1877">
        <v>1872869</v>
      </c>
      <c r="B1877" t="s">
        <v>8669</v>
      </c>
      <c r="C1877" t="str">
        <f>"9783037854242"</f>
        <v>9783037854242</v>
      </c>
      <c r="D1877" t="str">
        <f>"9783038138389"</f>
        <v>9783038138389</v>
      </c>
      <c r="E1877" t="s">
        <v>1649</v>
      </c>
      <c r="F1877" t="s">
        <v>1649</v>
      </c>
      <c r="G1877" s="1">
        <v>41167</v>
      </c>
      <c r="H1877" s="1">
        <v>41971</v>
      </c>
      <c r="I1877">
        <v>1</v>
      </c>
      <c r="J1877" t="s">
        <v>4195</v>
      </c>
      <c r="K1877" t="s">
        <v>8670</v>
      </c>
      <c r="L1877" t="s">
        <v>81</v>
      </c>
      <c r="M1877" t="s">
        <v>8671</v>
      </c>
      <c r="P1877" t="s">
        <v>18</v>
      </c>
    </row>
    <row r="1878" spans="1:16" x14ac:dyDescent="0.35">
      <c r="A1878">
        <v>1872863</v>
      </c>
      <c r="B1878" t="s">
        <v>8672</v>
      </c>
      <c r="C1878" t="str">
        <f>"9783037854174"</f>
        <v>9783037854174</v>
      </c>
      <c r="D1878" t="str">
        <f>"9783038138327"</f>
        <v>9783038138327</v>
      </c>
      <c r="E1878" t="s">
        <v>1649</v>
      </c>
      <c r="F1878" t="s">
        <v>1649</v>
      </c>
      <c r="G1878" s="1">
        <v>41157</v>
      </c>
      <c r="H1878" s="1">
        <v>41971</v>
      </c>
      <c r="I1878">
        <v>1</v>
      </c>
      <c r="J1878" t="s">
        <v>7419</v>
      </c>
      <c r="K1878" t="s">
        <v>8673</v>
      </c>
      <c r="L1878" t="s">
        <v>28</v>
      </c>
      <c r="M1878" t="s">
        <v>8674</v>
      </c>
      <c r="P1878" t="s">
        <v>18</v>
      </c>
    </row>
    <row r="1879" spans="1:16" x14ac:dyDescent="0.35">
      <c r="A1879">
        <v>3312014</v>
      </c>
      <c r="B1879" t="s">
        <v>8675</v>
      </c>
      <c r="C1879" t="str">
        <f>"9781466619722"</f>
        <v>9781466619722</v>
      </c>
      <c r="D1879" t="str">
        <f>"9781466619739"</f>
        <v>9781466619739</v>
      </c>
      <c r="E1879" t="s">
        <v>138</v>
      </c>
      <c r="F1879" t="s">
        <v>138</v>
      </c>
      <c r="G1879" s="1">
        <v>41152</v>
      </c>
      <c r="H1879" s="1">
        <v>41093</v>
      </c>
      <c r="K1879" t="s">
        <v>8676</v>
      </c>
      <c r="L1879" t="s">
        <v>28</v>
      </c>
      <c r="M1879" t="s">
        <v>8677</v>
      </c>
      <c r="N1879" t="s">
        <v>5141</v>
      </c>
      <c r="O1879" t="s">
        <v>8678</v>
      </c>
      <c r="P1879" t="s">
        <v>18</v>
      </c>
    </row>
    <row r="1880" spans="1:16" x14ac:dyDescent="0.35">
      <c r="A1880">
        <v>3312138</v>
      </c>
      <c r="B1880" t="s">
        <v>8679</v>
      </c>
      <c r="C1880" t="str">
        <f>"9781466620025"</f>
        <v>9781466620025</v>
      </c>
      <c r="D1880" t="str">
        <f>"9781466620032"</f>
        <v>9781466620032</v>
      </c>
      <c r="E1880" t="s">
        <v>138</v>
      </c>
      <c r="F1880" t="s">
        <v>138</v>
      </c>
      <c r="G1880" s="1">
        <v>41152</v>
      </c>
      <c r="H1880" s="1">
        <v>41107</v>
      </c>
      <c r="K1880" t="s">
        <v>8680</v>
      </c>
      <c r="L1880" t="s">
        <v>2275</v>
      </c>
      <c r="M1880" t="s">
        <v>8681</v>
      </c>
      <c r="N1880" t="s">
        <v>8682</v>
      </c>
      <c r="O1880" t="s">
        <v>8683</v>
      </c>
      <c r="P1880" t="s">
        <v>18</v>
      </c>
    </row>
    <row r="1881" spans="1:16" x14ac:dyDescent="0.35">
      <c r="A1881">
        <v>5022084</v>
      </c>
      <c r="B1881" t="s">
        <v>8684</v>
      </c>
      <c r="C1881" t="str">
        <f>"9783954042043"</f>
        <v>9783954042043</v>
      </c>
      <c r="D1881" t="str">
        <f>"9783736942042"</f>
        <v>9783736942042</v>
      </c>
      <c r="E1881" t="s">
        <v>2357</v>
      </c>
      <c r="F1881" t="s">
        <v>2357</v>
      </c>
      <c r="G1881" s="1">
        <v>41149</v>
      </c>
      <c r="H1881" s="1">
        <v>42983</v>
      </c>
      <c r="I1881">
        <v>1</v>
      </c>
      <c r="K1881" t="s">
        <v>8685</v>
      </c>
      <c r="L1881" t="s">
        <v>168</v>
      </c>
      <c r="M1881" t="s">
        <v>8686</v>
      </c>
      <c r="N1881">
        <v>634.90972999999894</v>
      </c>
      <c r="O1881" t="s">
        <v>8687</v>
      </c>
      <c r="P1881" t="s">
        <v>18</v>
      </c>
    </row>
    <row r="1882" spans="1:16" x14ac:dyDescent="0.35">
      <c r="A1882">
        <v>5022361</v>
      </c>
      <c r="B1882" t="s">
        <v>8688</v>
      </c>
      <c r="C1882" t="str">
        <f>"9783954041916"</f>
        <v>9783954041916</v>
      </c>
      <c r="D1882" t="str">
        <f>"9783736941915"</f>
        <v>9783736941915</v>
      </c>
      <c r="E1882" t="s">
        <v>2357</v>
      </c>
      <c r="F1882" t="s">
        <v>2357</v>
      </c>
      <c r="G1882" s="1">
        <v>41148</v>
      </c>
      <c r="H1882" s="1">
        <v>42983</v>
      </c>
      <c r="I1882">
        <v>1</v>
      </c>
      <c r="K1882" t="s">
        <v>8186</v>
      </c>
      <c r="L1882" t="s">
        <v>199</v>
      </c>
      <c r="M1882" t="s">
        <v>1865</v>
      </c>
      <c r="N1882">
        <v>333.72</v>
      </c>
      <c r="O1882" t="s">
        <v>8689</v>
      </c>
      <c r="P1882" t="s">
        <v>18</v>
      </c>
    </row>
    <row r="1883" spans="1:16" x14ac:dyDescent="0.35">
      <c r="A1883">
        <v>1055143</v>
      </c>
      <c r="B1883" t="s">
        <v>8690</v>
      </c>
      <c r="C1883" t="str">
        <f>"9783631633014"</f>
        <v>9783631633014</v>
      </c>
      <c r="D1883" t="str">
        <f>"9783653016840"</f>
        <v>9783653016840</v>
      </c>
      <c r="E1883" t="s">
        <v>2432</v>
      </c>
      <c r="F1883" t="s">
        <v>2432</v>
      </c>
      <c r="G1883" s="1">
        <v>41136</v>
      </c>
      <c r="H1883" s="1">
        <v>41214</v>
      </c>
      <c r="I1883">
        <v>1</v>
      </c>
      <c r="J1883" t="s">
        <v>7220</v>
      </c>
      <c r="K1883" t="s">
        <v>8691</v>
      </c>
      <c r="L1883" t="s">
        <v>49</v>
      </c>
      <c r="M1883" t="s">
        <v>8692</v>
      </c>
      <c r="N1883">
        <v>361.9</v>
      </c>
      <c r="O1883" t="s">
        <v>8693</v>
      </c>
      <c r="P1883" t="s">
        <v>18</v>
      </c>
    </row>
    <row r="1884" spans="1:16" x14ac:dyDescent="0.35">
      <c r="A1884">
        <v>1054953</v>
      </c>
      <c r="B1884" t="s">
        <v>8694</v>
      </c>
      <c r="C1884" t="str">
        <f>"9783631622728"</f>
        <v>9783631622728</v>
      </c>
      <c r="D1884" t="str">
        <f>"9783653017878"</f>
        <v>9783653017878</v>
      </c>
      <c r="E1884" t="s">
        <v>2432</v>
      </c>
      <c r="F1884" t="s">
        <v>2432</v>
      </c>
      <c r="G1884" s="1">
        <v>41129</v>
      </c>
      <c r="H1884" s="1">
        <v>41214</v>
      </c>
      <c r="I1884">
        <v>1</v>
      </c>
      <c r="J1884" t="s">
        <v>8695</v>
      </c>
      <c r="K1884" t="s">
        <v>8696</v>
      </c>
      <c r="L1884" t="s">
        <v>28</v>
      </c>
      <c r="M1884" t="s">
        <v>8697</v>
      </c>
      <c r="N1884">
        <v>658.5</v>
      </c>
      <c r="O1884" t="s">
        <v>8698</v>
      </c>
      <c r="P1884" t="s">
        <v>18</v>
      </c>
    </row>
    <row r="1885" spans="1:16" x14ac:dyDescent="0.35">
      <c r="A1885">
        <v>3312195</v>
      </c>
      <c r="B1885" t="s">
        <v>8699</v>
      </c>
      <c r="C1885" t="str">
        <f>"9781466619241"</f>
        <v>9781466619241</v>
      </c>
      <c r="D1885" t="str">
        <f>"9781466619258"</f>
        <v>9781466619258</v>
      </c>
      <c r="E1885" t="s">
        <v>138</v>
      </c>
      <c r="F1885" t="s">
        <v>138</v>
      </c>
      <c r="G1885" s="1">
        <v>41121</v>
      </c>
      <c r="H1885" s="1">
        <v>41123</v>
      </c>
      <c r="K1885" t="s">
        <v>8700</v>
      </c>
      <c r="L1885" t="s">
        <v>308</v>
      </c>
      <c r="M1885" t="s">
        <v>8701</v>
      </c>
      <c r="N1885">
        <v>330.02850000000001</v>
      </c>
      <c r="O1885" t="s">
        <v>8702</v>
      </c>
      <c r="P1885" t="s">
        <v>18</v>
      </c>
    </row>
    <row r="1886" spans="1:16" x14ac:dyDescent="0.35">
      <c r="A1886">
        <v>1054703</v>
      </c>
      <c r="B1886" t="s">
        <v>8703</v>
      </c>
      <c r="C1886" t="str">
        <f>"9783631613474"</f>
        <v>9783631613474</v>
      </c>
      <c r="D1886" t="str">
        <f>"9783653016314"</f>
        <v>9783653016314</v>
      </c>
      <c r="E1886" t="s">
        <v>2432</v>
      </c>
      <c r="F1886" t="s">
        <v>2432</v>
      </c>
      <c r="G1886" s="1">
        <v>41115</v>
      </c>
      <c r="H1886" s="1">
        <v>41214</v>
      </c>
      <c r="I1886">
        <v>1</v>
      </c>
      <c r="J1886" t="s">
        <v>8704</v>
      </c>
      <c r="K1886" t="s">
        <v>8705</v>
      </c>
      <c r="L1886" t="s">
        <v>105</v>
      </c>
      <c r="M1886" t="s">
        <v>8706</v>
      </c>
      <c r="N1886">
        <v>363.70071000000002</v>
      </c>
      <c r="O1886" t="s">
        <v>8707</v>
      </c>
      <c r="P1886" t="s">
        <v>18</v>
      </c>
    </row>
    <row r="1887" spans="1:16" x14ac:dyDescent="0.35">
      <c r="A1887">
        <v>5021771</v>
      </c>
      <c r="B1887" t="s">
        <v>8708</v>
      </c>
      <c r="C1887" t="str">
        <f>"9783954041602"</f>
        <v>9783954041602</v>
      </c>
      <c r="D1887" t="str">
        <f>"9783736941601"</f>
        <v>9783736941601</v>
      </c>
      <c r="E1887" t="s">
        <v>2357</v>
      </c>
      <c r="F1887" t="s">
        <v>2357</v>
      </c>
      <c r="G1887" s="1">
        <v>41114</v>
      </c>
      <c r="H1887" s="1">
        <v>42983</v>
      </c>
      <c r="I1887">
        <v>1</v>
      </c>
      <c r="K1887" t="s">
        <v>8709</v>
      </c>
      <c r="L1887" t="s">
        <v>168</v>
      </c>
      <c r="M1887" t="s">
        <v>8710</v>
      </c>
      <c r="N1887">
        <v>631.42200000000003</v>
      </c>
      <c r="O1887" t="s">
        <v>8711</v>
      </c>
      <c r="P1887" t="s">
        <v>18</v>
      </c>
    </row>
    <row r="1888" spans="1:16" x14ac:dyDescent="0.35">
      <c r="A1888">
        <v>1872880</v>
      </c>
      <c r="B1888" t="s">
        <v>8712</v>
      </c>
      <c r="C1888" t="str">
        <f>"9783037854358"</f>
        <v>9783037854358</v>
      </c>
      <c r="D1888" t="str">
        <f>"9783038138495"</f>
        <v>9783038138495</v>
      </c>
      <c r="E1888" t="s">
        <v>1649</v>
      </c>
      <c r="F1888" t="s">
        <v>1649</v>
      </c>
      <c r="G1888" s="1">
        <v>41101</v>
      </c>
      <c r="H1888" s="1">
        <v>41971</v>
      </c>
      <c r="I1888">
        <v>1</v>
      </c>
      <c r="J1888" t="s">
        <v>1671</v>
      </c>
      <c r="K1888" t="s">
        <v>8713</v>
      </c>
      <c r="L1888" t="s">
        <v>7259</v>
      </c>
      <c r="P1888" t="s">
        <v>18</v>
      </c>
    </row>
    <row r="1889" spans="1:16" x14ac:dyDescent="0.35">
      <c r="A1889">
        <v>6531056</v>
      </c>
      <c r="B1889" t="s">
        <v>8714</v>
      </c>
      <c r="C1889" t="str">
        <f>"9781559630245"</f>
        <v>9781559630245</v>
      </c>
      <c r="D1889" t="str">
        <f>"9781610913195"</f>
        <v>9781610913195</v>
      </c>
      <c r="E1889" t="s">
        <v>2154</v>
      </c>
      <c r="F1889" t="s">
        <v>2154</v>
      </c>
      <c r="G1889" s="1">
        <v>41101</v>
      </c>
      <c r="H1889" s="1">
        <v>44287</v>
      </c>
      <c r="I1889">
        <v>1</v>
      </c>
      <c r="K1889" t="s">
        <v>8715</v>
      </c>
      <c r="L1889" t="s">
        <v>257</v>
      </c>
      <c r="M1889" t="s">
        <v>8716</v>
      </c>
      <c r="N1889" t="s">
        <v>8717</v>
      </c>
      <c r="O1889" t="s">
        <v>8718</v>
      </c>
      <c r="P1889" t="s">
        <v>18</v>
      </c>
    </row>
    <row r="1890" spans="1:16" x14ac:dyDescent="0.35">
      <c r="A1890">
        <v>5019070</v>
      </c>
      <c r="B1890" t="s">
        <v>8719</v>
      </c>
      <c r="C1890" t="str">
        <f>"9783954040926"</f>
        <v>9783954040926</v>
      </c>
      <c r="D1890" t="str">
        <f>"9783736940925"</f>
        <v>9783736940925</v>
      </c>
      <c r="E1890" t="s">
        <v>2357</v>
      </c>
      <c r="F1890" t="s">
        <v>2357</v>
      </c>
      <c r="G1890" s="1">
        <v>41099</v>
      </c>
      <c r="H1890" s="1">
        <v>42983</v>
      </c>
      <c r="I1890">
        <v>1</v>
      </c>
      <c r="K1890" t="s">
        <v>8720</v>
      </c>
      <c r="L1890" t="s">
        <v>192</v>
      </c>
      <c r="M1890" t="s">
        <v>8721</v>
      </c>
      <c r="N1890">
        <v>338.47910000000002</v>
      </c>
      <c r="O1890" t="s">
        <v>327</v>
      </c>
      <c r="P1890" t="s">
        <v>18</v>
      </c>
    </row>
    <row r="1891" spans="1:16" x14ac:dyDescent="0.35">
      <c r="A1891">
        <v>982093</v>
      </c>
      <c r="B1891" t="s">
        <v>8722</v>
      </c>
      <c r="C1891" t="str">
        <f>"9780857457479"</f>
        <v>9780857457479</v>
      </c>
      <c r="D1891" t="str">
        <f>"9780857457486"</f>
        <v>9780857457486</v>
      </c>
      <c r="E1891" t="s">
        <v>447</v>
      </c>
      <c r="F1891" t="s">
        <v>447</v>
      </c>
      <c r="G1891" s="1">
        <v>41091</v>
      </c>
      <c r="H1891" s="1">
        <v>42320</v>
      </c>
      <c r="I1891">
        <v>1</v>
      </c>
      <c r="J1891" t="s">
        <v>8723</v>
      </c>
      <c r="K1891" t="s">
        <v>8724</v>
      </c>
      <c r="L1891" t="s">
        <v>106</v>
      </c>
      <c r="M1891" t="s">
        <v>8725</v>
      </c>
      <c r="N1891">
        <v>304.20979999999997</v>
      </c>
      <c r="P1891" t="s">
        <v>18</v>
      </c>
    </row>
    <row r="1892" spans="1:16" x14ac:dyDescent="0.35">
      <c r="A1892">
        <v>3311711</v>
      </c>
      <c r="B1892" t="s">
        <v>8726</v>
      </c>
      <c r="C1892" t="str">
        <f>"9781466618398"</f>
        <v>9781466618398</v>
      </c>
      <c r="D1892" t="str">
        <f>"9781466618404"</f>
        <v>9781466618404</v>
      </c>
      <c r="E1892" t="s">
        <v>138</v>
      </c>
      <c r="F1892" t="s">
        <v>138</v>
      </c>
      <c r="G1892" s="1">
        <v>41090</v>
      </c>
      <c r="H1892" s="1">
        <v>41061</v>
      </c>
      <c r="K1892" t="s">
        <v>8727</v>
      </c>
      <c r="L1892" t="s">
        <v>166</v>
      </c>
      <c r="M1892" t="s">
        <v>8728</v>
      </c>
      <c r="N1892" t="s">
        <v>8729</v>
      </c>
      <c r="O1892" t="s">
        <v>8730</v>
      </c>
      <c r="P1892" t="s">
        <v>18</v>
      </c>
    </row>
    <row r="1893" spans="1:16" x14ac:dyDescent="0.35">
      <c r="A1893">
        <v>3311722</v>
      </c>
      <c r="B1893" t="s">
        <v>8731</v>
      </c>
      <c r="C1893" t="str">
        <f>"9781466618428"</f>
        <v>9781466618428</v>
      </c>
      <c r="D1893" t="str">
        <f>"9781466618435"</f>
        <v>9781466618435</v>
      </c>
      <c r="E1893" t="s">
        <v>138</v>
      </c>
      <c r="F1893" t="s">
        <v>138</v>
      </c>
      <c r="G1893" s="1">
        <v>41090</v>
      </c>
      <c r="H1893" s="1">
        <v>41066</v>
      </c>
      <c r="K1893" t="s">
        <v>8727</v>
      </c>
      <c r="L1893" t="s">
        <v>141</v>
      </c>
      <c r="M1893" t="s">
        <v>8732</v>
      </c>
      <c r="N1893" t="s">
        <v>8733</v>
      </c>
      <c r="O1893" t="s">
        <v>8734</v>
      </c>
      <c r="P1893" t="s">
        <v>18</v>
      </c>
    </row>
    <row r="1894" spans="1:16" x14ac:dyDescent="0.35">
      <c r="A1894">
        <v>950407</v>
      </c>
      <c r="B1894" t="s">
        <v>8735</v>
      </c>
      <c r="C1894" t="str">
        <f>"9781848448674"</f>
        <v>9781848448674</v>
      </c>
      <c r="D1894" t="str">
        <f>"9781781005163"</f>
        <v>9781781005163</v>
      </c>
      <c r="E1894" t="s">
        <v>2080</v>
      </c>
      <c r="F1894" t="s">
        <v>7033</v>
      </c>
      <c r="G1894" s="1">
        <v>41089</v>
      </c>
      <c r="H1894" s="1">
        <v>41086</v>
      </c>
      <c r="K1894" t="s">
        <v>8736</v>
      </c>
      <c r="L1894" t="s">
        <v>308</v>
      </c>
      <c r="M1894" t="s">
        <v>8737</v>
      </c>
      <c r="N1894">
        <v>338.47910000000002</v>
      </c>
      <c r="O1894" t="s">
        <v>8738</v>
      </c>
      <c r="P1894" t="s">
        <v>18</v>
      </c>
    </row>
    <row r="1895" spans="1:16" x14ac:dyDescent="0.35">
      <c r="A1895">
        <v>3415226</v>
      </c>
      <c r="B1895" t="s">
        <v>8739</v>
      </c>
      <c r="C1895" t="str">
        <f>"9789086862030"</f>
        <v>9789086862030</v>
      </c>
      <c r="D1895" t="str">
        <f>"9789086867578"</f>
        <v>9789086867578</v>
      </c>
      <c r="E1895" t="s">
        <v>2565</v>
      </c>
      <c r="F1895" t="s">
        <v>2565</v>
      </c>
      <c r="G1895" s="1">
        <v>41075</v>
      </c>
      <c r="H1895" s="1">
        <v>41386</v>
      </c>
      <c r="I1895">
        <v>1</v>
      </c>
      <c r="K1895" t="s">
        <v>8740</v>
      </c>
      <c r="L1895" t="s">
        <v>39</v>
      </c>
      <c r="M1895" t="s">
        <v>8741</v>
      </c>
      <c r="N1895">
        <v>333.72</v>
      </c>
      <c r="O1895" t="s">
        <v>8742</v>
      </c>
      <c r="P1895" t="s">
        <v>18</v>
      </c>
    </row>
    <row r="1896" spans="1:16" x14ac:dyDescent="0.35">
      <c r="A1896">
        <v>1054283</v>
      </c>
      <c r="B1896" t="s">
        <v>8743</v>
      </c>
      <c r="C1896" t="str">
        <f>"9789052018645"</f>
        <v>9789052018645</v>
      </c>
      <c r="D1896" t="str">
        <f>"9783035261714"</f>
        <v>9783035261714</v>
      </c>
      <c r="E1896" t="s">
        <v>2432</v>
      </c>
      <c r="F1896" t="s">
        <v>7333</v>
      </c>
      <c r="G1896" s="1">
        <v>41065</v>
      </c>
      <c r="H1896" s="1">
        <v>41213</v>
      </c>
      <c r="I1896">
        <v>1</v>
      </c>
      <c r="J1896" t="s">
        <v>8744</v>
      </c>
      <c r="K1896" t="s">
        <v>8745</v>
      </c>
      <c r="L1896" t="s">
        <v>84</v>
      </c>
      <c r="M1896" t="s">
        <v>8746</v>
      </c>
      <c r="O1896" t="s">
        <v>8747</v>
      </c>
      <c r="P1896" t="s">
        <v>232</v>
      </c>
    </row>
    <row r="1897" spans="1:16" x14ac:dyDescent="0.35">
      <c r="A1897">
        <v>3311666</v>
      </c>
      <c r="B1897" t="s">
        <v>8748</v>
      </c>
      <c r="C1897" t="str">
        <f>"9781466616257"</f>
        <v>9781466616257</v>
      </c>
      <c r="D1897" t="str">
        <f>"9781466616264"</f>
        <v>9781466616264</v>
      </c>
      <c r="E1897" t="s">
        <v>138</v>
      </c>
      <c r="F1897" t="s">
        <v>138</v>
      </c>
      <c r="G1897" s="1">
        <v>41060</v>
      </c>
      <c r="H1897" s="1">
        <v>41030</v>
      </c>
      <c r="K1897" t="s">
        <v>530</v>
      </c>
      <c r="L1897" t="s">
        <v>4228</v>
      </c>
      <c r="M1897" t="s">
        <v>8749</v>
      </c>
      <c r="N1897" t="s">
        <v>423</v>
      </c>
      <c r="O1897" t="s">
        <v>8750</v>
      </c>
      <c r="P1897" t="s">
        <v>18</v>
      </c>
    </row>
    <row r="1898" spans="1:16" x14ac:dyDescent="0.35">
      <c r="A1898">
        <v>3312204</v>
      </c>
      <c r="B1898" t="s">
        <v>8751</v>
      </c>
      <c r="C1898" t="str">
        <f>"9781466615861"</f>
        <v>9781466615861</v>
      </c>
      <c r="D1898" t="str">
        <f>"9781466615878"</f>
        <v>9781466615878</v>
      </c>
      <c r="E1898" t="s">
        <v>138</v>
      </c>
      <c r="F1898" t="s">
        <v>138</v>
      </c>
      <c r="G1898" s="1">
        <v>41060</v>
      </c>
      <c r="H1898" s="1">
        <v>41136</v>
      </c>
      <c r="K1898" t="s">
        <v>2410</v>
      </c>
      <c r="L1898" t="s">
        <v>26</v>
      </c>
      <c r="M1898" t="s">
        <v>8752</v>
      </c>
      <c r="N1898">
        <v>338.92700000000002</v>
      </c>
      <c r="O1898" t="s">
        <v>8753</v>
      </c>
      <c r="P1898" t="s">
        <v>18</v>
      </c>
    </row>
    <row r="1899" spans="1:16" x14ac:dyDescent="0.35">
      <c r="A1899">
        <v>886258</v>
      </c>
      <c r="B1899" t="s">
        <v>8754</v>
      </c>
      <c r="C1899" t="str">
        <f>"9780123877956"</f>
        <v>9780123877956</v>
      </c>
      <c r="D1899" t="str">
        <f>"9780123877963"</f>
        <v>9780123877963</v>
      </c>
      <c r="E1899" t="s">
        <v>190</v>
      </c>
      <c r="F1899" t="s">
        <v>286</v>
      </c>
      <c r="G1899" s="1">
        <v>41059</v>
      </c>
      <c r="H1899" s="1">
        <v>41038</v>
      </c>
      <c r="K1899" t="s">
        <v>8755</v>
      </c>
      <c r="L1899" t="s">
        <v>8756</v>
      </c>
      <c r="M1899" t="s">
        <v>8757</v>
      </c>
      <c r="N1899">
        <v>628</v>
      </c>
      <c r="O1899" t="s">
        <v>8758</v>
      </c>
      <c r="P1899" t="s">
        <v>18</v>
      </c>
    </row>
    <row r="1900" spans="1:16" x14ac:dyDescent="0.35">
      <c r="A1900">
        <v>1054792</v>
      </c>
      <c r="B1900" t="s">
        <v>8759</v>
      </c>
      <c r="C1900" t="str">
        <f>"9783631617311"</f>
        <v>9783631617311</v>
      </c>
      <c r="D1900" t="str">
        <f>"9783653013245"</f>
        <v>9783653013245</v>
      </c>
      <c r="E1900" t="s">
        <v>2432</v>
      </c>
      <c r="F1900" t="s">
        <v>2432</v>
      </c>
      <c r="G1900" s="1">
        <v>41052</v>
      </c>
      <c r="H1900" s="1">
        <v>41213</v>
      </c>
      <c r="I1900">
        <v>1</v>
      </c>
      <c r="J1900" t="s">
        <v>8760</v>
      </c>
      <c r="K1900" t="s">
        <v>8761</v>
      </c>
      <c r="L1900" t="s">
        <v>283</v>
      </c>
      <c r="M1900" t="s">
        <v>8762</v>
      </c>
      <c r="N1900">
        <v>363.7</v>
      </c>
      <c r="O1900" t="s">
        <v>8763</v>
      </c>
      <c r="P1900" t="s">
        <v>18</v>
      </c>
    </row>
    <row r="1901" spans="1:16" x14ac:dyDescent="0.35">
      <c r="A1901">
        <v>1872861</v>
      </c>
      <c r="B1901" t="s">
        <v>8764</v>
      </c>
      <c r="C1901" t="str">
        <f>"9783037854143"</f>
        <v>9783037854143</v>
      </c>
      <c r="D1901" t="str">
        <f>"9783038138297"</f>
        <v>9783038138297</v>
      </c>
      <c r="E1901" t="s">
        <v>1649</v>
      </c>
      <c r="F1901" t="s">
        <v>1649</v>
      </c>
      <c r="G1901" s="1">
        <v>41047</v>
      </c>
      <c r="H1901" s="1">
        <v>41971</v>
      </c>
      <c r="I1901">
        <v>1</v>
      </c>
      <c r="J1901" t="s">
        <v>7419</v>
      </c>
      <c r="K1901" t="s">
        <v>8765</v>
      </c>
      <c r="L1901" t="s">
        <v>179</v>
      </c>
      <c r="M1901" t="s">
        <v>8766</v>
      </c>
      <c r="P1901" t="s">
        <v>18</v>
      </c>
    </row>
    <row r="1902" spans="1:16" x14ac:dyDescent="0.35">
      <c r="A1902">
        <v>1872850</v>
      </c>
      <c r="B1902" t="s">
        <v>8767</v>
      </c>
      <c r="C1902" t="str">
        <f>"9783037854051"</f>
        <v>9783037854051</v>
      </c>
      <c r="D1902" t="str">
        <f>"9783038138204"</f>
        <v>9783038138204</v>
      </c>
      <c r="E1902" t="s">
        <v>1649</v>
      </c>
      <c r="F1902" t="s">
        <v>1649</v>
      </c>
      <c r="G1902" s="1">
        <v>41045</v>
      </c>
      <c r="H1902" s="1">
        <v>41971</v>
      </c>
      <c r="I1902">
        <v>1</v>
      </c>
      <c r="J1902" t="s">
        <v>7419</v>
      </c>
      <c r="K1902" t="s">
        <v>8768</v>
      </c>
      <c r="L1902" t="s">
        <v>28</v>
      </c>
      <c r="M1902" t="s">
        <v>8769</v>
      </c>
      <c r="P1902" t="s">
        <v>18</v>
      </c>
    </row>
    <row r="1903" spans="1:16" x14ac:dyDescent="0.35">
      <c r="A1903">
        <v>913787</v>
      </c>
      <c r="B1903" t="s">
        <v>8770</v>
      </c>
      <c r="C1903" t="str">
        <f>"9780080878720"</f>
        <v>9780080878720</v>
      </c>
      <c r="D1903" t="str">
        <f>"9780080878737"</f>
        <v>9780080878737</v>
      </c>
      <c r="E1903" t="s">
        <v>1699</v>
      </c>
      <c r="F1903" t="s">
        <v>1699</v>
      </c>
      <c r="G1903" s="1">
        <v>41031</v>
      </c>
      <c r="H1903" s="1">
        <v>41033</v>
      </c>
      <c r="K1903" t="s">
        <v>8771</v>
      </c>
      <c r="L1903" t="s">
        <v>7602</v>
      </c>
      <c r="M1903" t="s">
        <v>8772</v>
      </c>
      <c r="N1903">
        <v>333.79403000000002</v>
      </c>
      <c r="O1903" t="s">
        <v>8773</v>
      </c>
      <c r="P1903" t="s">
        <v>18</v>
      </c>
    </row>
    <row r="1904" spans="1:16" x14ac:dyDescent="0.35">
      <c r="A1904">
        <v>879027</v>
      </c>
      <c r="B1904" t="s">
        <v>8774</v>
      </c>
      <c r="C1904" t="str">
        <f>"9780444538468"</f>
        <v>9780444538468</v>
      </c>
      <c r="D1904" t="str">
        <f>"9780444538475"</f>
        <v>9780444538475</v>
      </c>
      <c r="E1904" t="s">
        <v>1699</v>
      </c>
      <c r="F1904" t="s">
        <v>1699</v>
      </c>
      <c r="G1904" s="1">
        <v>41030</v>
      </c>
      <c r="H1904" s="1">
        <v>41024</v>
      </c>
      <c r="K1904" t="s">
        <v>8775</v>
      </c>
      <c r="L1904" t="s">
        <v>85</v>
      </c>
      <c r="M1904" t="s">
        <v>7802</v>
      </c>
      <c r="N1904">
        <v>620.00419999999997</v>
      </c>
      <c r="O1904" t="s">
        <v>8776</v>
      </c>
      <c r="P1904" t="s">
        <v>18</v>
      </c>
    </row>
    <row r="1905" spans="1:16" x14ac:dyDescent="0.35">
      <c r="A1905">
        <v>894612</v>
      </c>
      <c r="B1905" t="s">
        <v>8777</v>
      </c>
      <c r="C1905" t="str">
        <f>"9781849809306"</f>
        <v>9781849809306</v>
      </c>
      <c r="D1905" t="str">
        <f>"9781849809313"</f>
        <v>9781849809313</v>
      </c>
      <c r="E1905" t="s">
        <v>2080</v>
      </c>
      <c r="F1905" t="s">
        <v>7033</v>
      </c>
      <c r="G1905" s="1">
        <v>41029</v>
      </c>
      <c r="H1905" s="1">
        <v>41017</v>
      </c>
      <c r="K1905" t="s">
        <v>8778</v>
      </c>
      <c r="L1905" t="s">
        <v>53</v>
      </c>
      <c r="M1905" t="s">
        <v>8779</v>
      </c>
      <c r="N1905">
        <v>363.7</v>
      </c>
      <c r="O1905" t="s">
        <v>8780</v>
      </c>
      <c r="P1905" t="s">
        <v>18</v>
      </c>
    </row>
    <row r="1906" spans="1:16" x14ac:dyDescent="0.35">
      <c r="A1906">
        <v>1888809</v>
      </c>
      <c r="B1906" t="s">
        <v>8781</v>
      </c>
      <c r="C1906" t="str">
        <f>"9783631623671"</f>
        <v>9783631623671</v>
      </c>
      <c r="D1906" t="str">
        <f>"9783653013498"</f>
        <v>9783653013498</v>
      </c>
      <c r="E1906" t="s">
        <v>2432</v>
      </c>
      <c r="F1906" t="s">
        <v>2432</v>
      </c>
      <c r="G1906" s="1">
        <v>41029</v>
      </c>
      <c r="H1906" s="1">
        <v>41985</v>
      </c>
      <c r="I1906">
        <v>1</v>
      </c>
      <c r="K1906" t="s">
        <v>8782</v>
      </c>
      <c r="L1906" t="s">
        <v>28</v>
      </c>
      <c r="M1906" t="s">
        <v>8783</v>
      </c>
      <c r="N1906">
        <v>388.4</v>
      </c>
      <c r="O1906" t="s">
        <v>8784</v>
      </c>
      <c r="P1906" t="s">
        <v>18</v>
      </c>
    </row>
    <row r="1907" spans="1:16" x14ac:dyDescent="0.35">
      <c r="A1907">
        <v>1054951</v>
      </c>
      <c r="B1907" t="s">
        <v>8785</v>
      </c>
      <c r="C1907" t="str">
        <f>"9783631622643"</f>
        <v>9783631622643</v>
      </c>
      <c r="D1907" t="str">
        <f>"9783653014716"</f>
        <v>9783653014716</v>
      </c>
      <c r="E1907" t="s">
        <v>2432</v>
      </c>
      <c r="F1907" t="s">
        <v>2432</v>
      </c>
      <c r="G1907" s="1">
        <v>41010</v>
      </c>
      <c r="H1907" s="1">
        <v>41213</v>
      </c>
      <c r="I1907">
        <v>1</v>
      </c>
      <c r="K1907" t="s">
        <v>8786</v>
      </c>
      <c r="L1907" t="s">
        <v>114</v>
      </c>
      <c r="M1907" t="s">
        <v>8787</v>
      </c>
      <c r="N1907">
        <v>333.70710000000003</v>
      </c>
      <c r="O1907" t="s">
        <v>8788</v>
      </c>
      <c r="P1907" t="s">
        <v>18</v>
      </c>
    </row>
    <row r="1908" spans="1:16" x14ac:dyDescent="0.35">
      <c r="A1908">
        <v>1872827</v>
      </c>
      <c r="B1908" t="s">
        <v>8789</v>
      </c>
      <c r="C1908" t="str">
        <f>"9783037853825"</f>
        <v>9783037853825</v>
      </c>
      <c r="D1908" t="str">
        <f>"9783038138105"</f>
        <v>9783038138105</v>
      </c>
      <c r="E1908" t="s">
        <v>1649</v>
      </c>
      <c r="F1908" t="s">
        <v>1649</v>
      </c>
      <c r="G1908" s="1">
        <v>41009</v>
      </c>
      <c r="H1908" s="1">
        <v>41971</v>
      </c>
      <c r="I1908">
        <v>1</v>
      </c>
      <c r="J1908" t="s">
        <v>7419</v>
      </c>
      <c r="K1908" t="s">
        <v>8790</v>
      </c>
      <c r="L1908" t="s">
        <v>129</v>
      </c>
      <c r="M1908" t="s">
        <v>8791</v>
      </c>
      <c r="P1908" t="s">
        <v>18</v>
      </c>
    </row>
    <row r="1909" spans="1:16" x14ac:dyDescent="0.35">
      <c r="A1909">
        <v>5020255</v>
      </c>
      <c r="B1909" t="s">
        <v>8792</v>
      </c>
      <c r="C1909" t="str">
        <f>"9783954040698"</f>
        <v>9783954040698</v>
      </c>
      <c r="D1909" t="str">
        <f>"9783736940697"</f>
        <v>9783736940697</v>
      </c>
      <c r="E1909" t="s">
        <v>2357</v>
      </c>
      <c r="F1909" t="s">
        <v>2357</v>
      </c>
      <c r="G1909" s="1">
        <v>41009</v>
      </c>
      <c r="H1909" s="1">
        <v>42983</v>
      </c>
      <c r="I1909">
        <v>1</v>
      </c>
      <c r="K1909" t="s">
        <v>8793</v>
      </c>
      <c r="L1909" t="s">
        <v>168</v>
      </c>
      <c r="M1909" t="s">
        <v>8794</v>
      </c>
      <c r="N1909">
        <v>630.98699999999894</v>
      </c>
      <c r="O1909" t="s">
        <v>8795</v>
      </c>
      <c r="P1909" t="s">
        <v>18</v>
      </c>
    </row>
    <row r="1910" spans="1:16" x14ac:dyDescent="0.35">
      <c r="A1910">
        <v>5020259</v>
      </c>
      <c r="B1910" t="s">
        <v>8796</v>
      </c>
      <c r="C1910" t="str">
        <f>"9783954040773"</f>
        <v>9783954040773</v>
      </c>
      <c r="D1910" t="str">
        <f>"9783736940772"</f>
        <v>9783736940772</v>
      </c>
      <c r="E1910" t="s">
        <v>2357</v>
      </c>
      <c r="F1910" t="s">
        <v>2357</v>
      </c>
      <c r="G1910" s="1">
        <v>41003</v>
      </c>
      <c r="H1910" s="1">
        <v>42983</v>
      </c>
      <c r="I1910">
        <v>1</v>
      </c>
      <c r="K1910" t="s">
        <v>8797</v>
      </c>
      <c r="L1910" t="s">
        <v>168</v>
      </c>
      <c r="M1910" t="s">
        <v>8798</v>
      </c>
      <c r="N1910">
        <v>634.96180000000004</v>
      </c>
      <c r="O1910" t="s">
        <v>8799</v>
      </c>
      <c r="P1910" t="s">
        <v>18</v>
      </c>
    </row>
    <row r="1911" spans="1:16" x14ac:dyDescent="0.35">
      <c r="A1911">
        <v>1872815</v>
      </c>
      <c r="B1911" t="s">
        <v>8800</v>
      </c>
      <c r="C1911" t="str">
        <f>"9783037853702"</f>
        <v>9783037853702</v>
      </c>
      <c r="D1911" t="str">
        <f>"9783038138037"</f>
        <v>9783038138037</v>
      </c>
      <c r="E1911" t="s">
        <v>1649</v>
      </c>
      <c r="F1911" t="s">
        <v>1649</v>
      </c>
      <c r="G1911" s="1">
        <v>40996</v>
      </c>
      <c r="H1911" s="1">
        <v>41971</v>
      </c>
      <c r="I1911">
        <v>1</v>
      </c>
      <c r="J1911" t="s">
        <v>7419</v>
      </c>
      <c r="K1911" t="s">
        <v>8801</v>
      </c>
      <c r="L1911" t="s">
        <v>81</v>
      </c>
      <c r="M1911" t="s">
        <v>8802</v>
      </c>
      <c r="P1911" t="s">
        <v>18</v>
      </c>
    </row>
    <row r="1912" spans="1:16" x14ac:dyDescent="0.35">
      <c r="A1912">
        <v>1872817</v>
      </c>
      <c r="B1912" t="s">
        <v>8803</v>
      </c>
      <c r="C1912" t="str">
        <f>"9783037853726"</f>
        <v>9783037853726</v>
      </c>
      <c r="D1912" t="str">
        <f>"9783038138051"</f>
        <v>9783038138051</v>
      </c>
      <c r="E1912" t="s">
        <v>1649</v>
      </c>
      <c r="F1912" t="s">
        <v>1649</v>
      </c>
      <c r="G1912" s="1">
        <v>40996</v>
      </c>
      <c r="H1912" s="1">
        <v>41971</v>
      </c>
      <c r="I1912">
        <v>1</v>
      </c>
      <c r="J1912" t="s">
        <v>7419</v>
      </c>
      <c r="K1912" t="s">
        <v>8804</v>
      </c>
      <c r="L1912" t="s">
        <v>28</v>
      </c>
      <c r="M1912" t="s">
        <v>8769</v>
      </c>
      <c r="P1912" t="s">
        <v>18</v>
      </c>
    </row>
    <row r="1913" spans="1:16" x14ac:dyDescent="0.35">
      <c r="A1913">
        <v>1872808</v>
      </c>
      <c r="B1913" t="s">
        <v>8805</v>
      </c>
      <c r="C1913" t="str">
        <f>"9783037853634"</f>
        <v>9783037853634</v>
      </c>
      <c r="D1913" t="str">
        <f>"9783038137993"</f>
        <v>9783038137993</v>
      </c>
      <c r="E1913" t="s">
        <v>1649</v>
      </c>
      <c r="F1913" t="s">
        <v>1649</v>
      </c>
      <c r="G1913" s="1">
        <v>40994</v>
      </c>
      <c r="H1913" s="1">
        <v>41971</v>
      </c>
      <c r="I1913">
        <v>1</v>
      </c>
      <c r="J1913" t="s">
        <v>7419</v>
      </c>
      <c r="K1913" t="s">
        <v>8790</v>
      </c>
      <c r="L1913" t="s">
        <v>81</v>
      </c>
      <c r="M1913" t="s">
        <v>8806</v>
      </c>
      <c r="P1913" t="s">
        <v>18</v>
      </c>
    </row>
    <row r="1914" spans="1:16" x14ac:dyDescent="0.35">
      <c r="A1914">
        <v>1872805</v>
      </c>
      <c r="B1914" t="s">
        <v>8807</v>
      </c>
      <c r="C1914" t="str">
        <f>"9783037853610"</f>
        <v>9783037853610</v>
      </c>
      <c r="D1914" t="str">
        <f>"9783038137986"</f>
        <v>9783038137986</v>
      </c>
      <c r="E1914" t="s">
        <v>1649</v>
      </c>
      <c r="F1914" t="s">
        <v>1649</v>
      </c>
      <c r="G1914" s="1">
        <v>40990</v>
      </c>
      <c r="H1914" s="1">
        <v>41971</v>
      </c>
      <c r="I1914">
        <v>1</v>
      </c>
      <c r="J1914" t="s">
        <v>7419</v>
      </c>
      <c r="K1914" t="s">
        <v>8808</v>
      </c>
      <c r="L1914" t="s">
        <v>85</v>
      </c>
      <c r="M1914" t="s">
        <v>8809</v>
      </c>
      <c r="N1914" t="s">
        <v>267</v>
      </c>
      <c r="P1914" t="s">
        <v>18</v>
      </c>
    </row>
    <row r="1915" spans="1:16" x14ac:dyDescent="0.35">
      <c r="A1915">
        <v>1872822</v>
      </c>
      <c r="B1915" t="s">
        <v>8810</v>
      </c>
      <c r="C1915" t="str">
        <f>"9783037853771"</f>
        <v>9783037853771</v>
      </c>
      <c r="D1915" t="str">
        <f>"9783038137320"</f>
        <v>9783038137320</v>
      </c>
      <c r="E1915" t="s">
        <v>1649</v>
      </c>
      <c r="F1915" t="s">
        <v>1649</v>
      </c>
      <c r="G1915" s="1">
        <v>40989</v>
      </c>
      <c r="H1915" s="1">
        <v>41971</v>
      </c>
      <c r="I1915">
        <v>1</v>
      </c>
      <c r="J1915" t="s">
        <v>4195</v>
      </c>
      <c r="K1915" t="s">
        <v>8811</v>
      </c>
      <c r="L1915" t="s">
        <v>129</v>
      </c>
      <c r="M1915" t="s">
        <v>8812</v>
      </c>
      <c r="P1915" t="s">
        <v>18</v>
      </c>
    </row>
    <row r="1916" spans="1:16" x14ac:dyDescent="0.35">
      <c r="A1916">
        <v>1903295</v>
      </c>
      <c r="B1916" t="s">
        <v>8813</v>
      </c>
      <c r="C1916" t="str">
        <f>"9783037853191"</f>
        <v>9783037853191</v>
      </c>
      <c r="D1916" t="str">
        <f>"9783038137733"</f>
        <v>9783038137733</v>
      </c>
      <c r="E1916" t="s">
        <v>1649</v>
      </c>
      <c r="F1916" t="s">
        <v>1649</v>
      </c>
      <c r="G1916" s="1">
        <v>40967</v>
      </c>
      <c r="H1916" s="1">
        <v>41993</v>
      </c>
      <c r="I1916">
        <v>1</v>
      </c>
      <c r="J1916" t="s">
        <v>7419</v>
      </c>
      <c r="K1916" t="s">
        <v>8814</v>
      </c>
      <c r="L1916" t="s">
        <v>81</v>
      </c>
      <c r="M1916" t="s">
        <v>8815</v>
      </c>
      <c r="P1916" t="s">
        <v>18</v>
      </c>
    </row>
    <row r="1917" spans="1:16" x14ac:dyDescent="0.35">
      <c r="A1917">
        <v>1054623</v>
      </c>
      <c r="B1917" t="s">
        <v>8816</v>
      </c>
      <c r="C1917" t="str">
        <f>"9783631610091"</f>
        <v>9783631610091</v>
      </c>
      <c r="D1917" t="str">
        <f>"9783653011777"</f>
        <v>9783653011777</v>
      </c>
      <c r="E1917" t="s">
        <v>2432</v>
      </c>
      <c r="F1917" t="s">
        <v>2432</v>
      </c>
      <c r="G1917" s="1">
        <v>40963</v>
      </c>
      <c r="H1917" s="1">
        <v>41216</v>
      </c>
      <c r="I1917">
        <v>1</v>
      </c>
      <c r="K1917" t="s">
        <v>8817</v>
      </c>
      <c r="L1917" t="s">
        <v>8818</v>
      </c>
      <c r="M1917" t="s">
        <v>8819</v>
      </c>
      <c r="N1917">
        <v>333.79399999999998</v>
      </c>
      <c r="O1917" t="s">
        <v>8820</v>
      </c>
      <c r="P1917" t="s">
        <v>315</v>
      </c>
    </row>
    <row r="1918" spans="1:16" x14ac:dyDescent="0.35">
      <c r="A1918">
        <v>5019033</v>
      </c>
      <c r="B1918" t="s">
        <v>8821</v>
      </c>
      <c r="C1918" t="str">
        <f>"9783954040353"</f>
        <v>9783954040353</v>
      </c>
      <c r="D1918" t="str">
        <f>"9783736940352"</f>
        <v>9783736940352</v>
      </c>
      <c r="E1918" t="s">
        <v>2357</v>
      </c>
      <c r="F1918" t="s">
        <v>2357</v>
      </c>
      <c r="G1918" s="1">
        <v>40962</v>
      </c>
      <c r="H1918" s="1">
        <v>42983</v>
      </c>
      <c r="I1918">
        <v>1</v>
      </c>
      <c r="K1918" t="s">
        <v>8822</v>
      </c>
      <c r="P1918" t="s">
        <v>18</v>
      </c>
    </row>
    <row r="1919" spans="1:16" x14ac:dyDescent="0.35">
      <c r="A1919">
        <v>919086</v>
      </c>
      <c r="B1919" t="s">
        <v>8823</v>
      </c>
      <c r="C1919" t="str">
        <f>"9789814327695"</f>
        <v>9789814327695</v>
      </c>
      <c r="D1919" t="str">
        <f>"9789814327701"</f>
        <v>9789814327701</v>
      </c>
      <c r="E1919" t="s">
        <v>184</v>
      </c>
      <c r="F1919" t="s">
        <v>185</v>
      </c>
      <c r="G1919" s="1">
        <v>40952</v>
      </c>
      <c r="H1919" s="1">
        <v>41050</v>
      </c>
      <c r="J1919" t="s">
        <v>8824</v>
      </c>
      <c r="K1919" t="s">
        <v>8825</v>
      </c>
      <c r="L1919" t="s">
        <v>283</v>
      </c>
      <c r="M1919" t="s">
        <v>8826</v>
      </c>
      <c r="N1919">
        <v>363.73919999999998</v>
      </c>
      <c r="O1919" t="s">
        <v>8827</v>
      </c>
      <c r="P1919" t="s">
        <v>18</v>
      </c>
    </row>
    <row r="1920" spans="1:16" x14ac:dyDescent="0.35">
      <c r="A1920">
        <v>3440075</v>
      </c>
      <c r="B1920" t="s">
        <v>8828</v>
      </c>
      <c r="C1920" t="str">
        <f>"9780309252379"</f>
        <v>9780309252379</v>
      </c>
      <c r="D1920" t="str">
        <f>"9780309252386"</f>
        <v>9780309252386</v>
      </c>
      <c r="E1920" t="s">
        <v>531</v>
      </c>
      <c r="F1920" t="s">
        <v>531</v>
      </c>
      <c r="G1920" s="1">
        <v>40952</v>
      </c>
      <c r="H1920" s="1">
        <v>42242</v>
      </c>
      <c r="I1920">
        <v>1</v>
      </c>
      <c r="K1920" t="s">
        <v>8829</v>
      </c>
      <c r="L1920" t="s">
        <v>105</v>
      </c>
      <c r="P1920" t="s">
        <v>18</v>
      </c>
    </row>
    <row r="1921" spans="1:16" x14ac:dyDescent="0.35">
      <c r="A1921">
        <v>1903294</v>
      </c>
      <c r="B1921" t="s">
        <v>8830</v>
      </c>
      <c r="C1921" t="str">
        <f>"9783037853122"</f>
        <v>9783037853122</v>
      </c>
      <c r="D1921" t="str">
        <f>"9783038137689"</f>
        <v>9783038137689</v>
      </c>
      <c r="E1921" t="s">
        <v>1649</v>
      </c>
      <c r="F1921" t="s">
        <v>1649</v>
      </c>
      <c r="G1921" s="1">
        <v>40948</v>
      </c>
      <c r="H1921" s="1">
        <v>41993</v>
      </c>
      <c r="I1921">
        <v>1</v>
      </c>
      <c r="J1921" t="s">
        <v>7419</v>
      </c>
      <c r="K1921" t="s">
        <v>8831</v>
      </c>
      <c r="L1921" t="s">
        <v>166</v>
      </c>
      <c r="M1921" t="s">
        <v>8832</v>
      </c>
      <c r="P1921" t="s">
        <v>18</v>
      </c>
    </row>
    <row r="1922" spans="1:16" x14ac:dyDescent="0.35">
      <c r="A1922">
        <v>1903292</v>
      </c>
      <c r="B1922" t="s">
        <v>8833</v>
      </c>
      <c r="C1922" t="str">
        <f>"9783037852958"</f>
        <v>9783037852958</v>
      </c>
      <c r="D1922" t="str">
        <f>"9783038137580"</f>
        <v>9783038137580</v>
      </c>
      <c r="E1922" t="s">
        <v>1649</v>
      </c>
      <c r="F1922" t="s">
        <v>1649</v>
      </c>
      <c r="G1922" s="1">
        <v>40942</v>
      </c>
      <c r="H1922" s="1">
        <v>41993</v>
      </c>
      <c r="I1922">
        <v>1</v>
      </c>
      <c r="J1922" t="s">
        <v>7419</v>
      </c>
      <c r="K1922" t="s">
        <v>8790</v>
      </c>
      <c r="L1922" t="s">
        <v>7259</v>
      </c>
      <c r="P1922" t="s">
        <v>18</v>
      </c>
    </row>
    <row r="1923" spans="1:16" x14ac:dyDescent="0.35">
      <c r="A1923">
        <v>1872726</v>
      </c>
      <c r="B1923" t="s">
        <v>8834</v>
      </c>
      <c r="C1923" t="str">
        <f>"9783037852781"</f>
        <v>9783037852781</v>
      </c>
      <c r="D1923" t="str">
        <f>"9783038137542"</f>
        <v>9783038137542</v>
      </c>
      <c r="E1923" t="s">
        <v>1649</v>
      </c>
      <c r="F1923" t="s">
        <v>1649</v>
      </c>
      <c r="G1923" s="1">
        <v>40928</v>
      </c>
      <c r="H1923" s="1">
        <v>41971</v>
      </c>
      <c r="I1923">
        <v>1</v>
      </c>
      <c r="J1923" t="s">
        <v>7419</v>
      </c>
      <c r="K1923" t="s">
        <v>8835</v>
      </c>
      <c r="L1923" t="s">
        <v>7259</v>
      </c>
      <c r="P1923" t="s">
        <v>18</v>
      </c>
    </row>
    <row r="1924" spans="1:16" x14ac:dyDescent="0.35">
      <c r="A1924">
        <v>1872727</v>
      </c>
      <c r="B1924" t="s">
        <v>8836</v>
      </c>
      <c r="C1924" t="str">
        <f>"9783037852798"</f>
        <v>9783037852798</v>
      </c>
      <c r="D1924" t="str">
        <f>"9783038137559"</f>
        <v>9783038137559</v>
      </c>
      <c r="E1924" t="s">
        <v>1649</v>
      </c>
      <c r="F1924" t="s">
        <v>1649</v>
      </c>
      <c r="G1924" s="1">
        <v>40928</v>
      </c>
      <c r="H1924" s="1">
        <v>41971</v>
      </c>
      <c r="I1924">
        <v>1</v>
      </c>
      <c r="J1924" t="s">
        <v>7419</v>
      </c>
      <c r="K1924" t="s">
        <v>8837</v>
      </c>
      <c r="L1924" t="s">
        <v>7259</v>
      </c>
      <c r="P1924" t="s">
        <v>18</v>
      </c>
    </row>
    <row r="1925" spans="1:16" x14ac:dyDescent="0.35">
      <c r="A1925">
        <v>1872710</v>
      </c>
      <c r="B1925" t="s">
        <v>8838</v>
      </c>
      <c r="C1925" t="str">
        <f>"9783037852620"</f>
        <v>9783037852620</v>
      </c>
      <c r="D1925" t="str">
        <f>"9783038137085"</f>
        <v>9783038137085</v>
      </c>
      <c r="E1925" t="s">
        <v>1649</v>
      </c>
      <c r="F1925" t="s">
        <v>1649</v>
      </c>
      <c r="G1925" s="1">
        <v>40921</v>
      </c>
      <c r="H1925" s="1">
        <v>41971</v>
      </c>
      <c r="I1925">
        <v>1</v>
      </c>
      <c r="J1925" t="s">
        <v>4195</v>
      </c>
      <c r="K1925" t="s">
        <v>8790</v>
      </c>
      <c r="L1925" t="s">
        <v>8081</v>
      </c>
      <c r="P1925" t="s">
        <v>18</v>
      </c>
    </row>
    <row r="1926" spans="1:16" x14ac:dyDescent="0.35">
      <c r="A1926">
        <v>1872716</v>
      </c>
      <c r="B1926" t="s">
        <v>8839</v>
      </c>
      <c r="C1926" t="str">
        <f>"9783037852682"</f>
        <v>9783037852682</v>
      </c>
      <c r="D1926" t="str">
        <f>"9783038137498"</f>
        <v>9783038137498</v>
      </c>
      <c r="E1926" t="s">
        <v>1649</v>
      </c>
      <c r="F1926" t="s">
        <v>1649</v>
      </c>
      <c r="G1926" s="1">
        <v>40920</v>
      </c>
      <c r="H1926" s="1">
        <v>41971</v>
      </c>
      <c r="I1926">
        <v>1</v>
      </c>
      <c r="J1926" t="s">
        <v>7419</v>
      </c>
      <c r="K1926" t="s">
        <v>8840</v>
      </c>
      <c r="L1926" t="s">
        <v>7259</v>
      </c>
      <c r="P1926" t="s">
        <v>18</v>
      </c>
    </row>
    <row r="1927" spans="1:16" x14ac:dyDescent="0.35">
      <c r="A1927">
        <v>5022395</v>
      </c>
      <c r="B1927" t="s">
        <v>8841</v>
      </c>
      <c r="C1927" t="str">
        <f>"9783869559889"</f>
        <v>9783869559889</v>
      </c>
      <c r="D1927" t="str">
        <f>"9783736939882"</f>
        <v>9783736939882</v>
      </c>
      <c r="E1927" t="s">
        <v>2357</v>
      </c>
      <c r="F1927" t="s">
        <v>2357</v>
      </c>
      <c r="G1927" s="1">
        <v>40920</v>
      </c>
      <c r="H1927" s="1">
        <v>42983</v>
      </c>
      <c r="I1927">
        <v>1</v>
      </c>
      <c r="K1927" t="s">
        <v>8842</v>
      </c>
      <c r="L1927" t="s">
        <v>112</v>
      </c>
      <c r="M1927" t="s">
        <v>8843</v>
      </c>
      <c r="N1927">
        <v>363.8</v>
      </c>
      <c r="O1927" t="s">
        <v>8844</v>
      </c>
      <c r="P1927" t="s">
        <v>18</v>
      </c>
    </row>
    <row r="1928" spans="1:16" x14ac:dyDescent="0.35">
      <c r="A1928">
        <v>1872706</v>
      </c>
      <c r="B1928" t="s">
        <v>8845</v>
      </c>
      <c r="C1928" t="str">
        <f>"9783037852583"</f>
        <v>9783037852583</v>
      </c>
      <c r="D1928" t="str">
        <f>"9783038137450"</f>
        <v>9783038137450</v>
      </c>
      <c r="E1928" t="s">
        <v>1649</v>
      </c>
      <c r="F1928" t="s">
        <v>1649</v>
      </c>
      <c r="G1928" s="1">
        <v>40917</v>
      </c>
      <c r="H1928" s="1">
        <v>41971</v>
      </c>
      <c r="I1928">
        <v>1</v>
      </c>
      <c r="J1928" t="s">
        <v>7419</v>
      </c>
      <c r="K1928" t="s">
        <v>8846</v>
      </c>
      <c r="L1928" t="s">
        <v>7259</v>
      </c>
      <c r="P1928" t="s">
        <v>18</v>
      </c>
    </row>
    <row r="1929" spans="1:16" x14ac:dyDescent="0.35">
      <c r="A1929">
        <v>1872713</v>
      </c>
      <c r="B1929" t="s">
        <v>8847</v>
      </c>
      <c r="C1929" t="str">
        <f>"9783037852651"</f>
        <v>9783037852651</v>
      </c>
      <c r="D1929" t="str">
        <f>"9783038137467"</f>
        <v>9783038137467</v>
      </c>
      <c r="E1929" t="s">
        <v>1649</v>
      </c>
      <c r="F1929" t="s">
        <v>1649</v>
      </c>
      <c r="G1929" s="1">
        <v>40917</v>
      </c>
      <c r="H1929" s="1">
        <v>41971</v>
      </c>
      <c r="I1929">
        <v>1</v>
      </c>
      <c r="J1929" t="s">
        <v>7419</v>
      </c>
      <c r="K1929" t="s">
        <v>8848</v>
      </c>
      <c r="L1929" t="s">
        <v>7259</v>
      </c>
      <c r="P1929" t="s">
        <v>18</v>
      </c>
    </row>
    <row r="1930" spans="1:16" x14ac:dyDescent="0.35">
      <c r="A1930">
        <v>892970</v>
      </c>
      <c r="B1930" t="s">
        <v>8849</v>
      </c>
      <c r="C1930" t="str">
        <f>"9781845938277"</f>
        <v>9781845938277</v>
      </c>
      <c r="D1930" t="str">
        <f>"9781845939663"</f>
        <v>9781845939663</v>
      </c>
      <c r="E1930" t="s">
        <v>332</v>
      </c>
      <c r="F1930" t="s">
        <v>8850</v>
      </c>
      <c r="G1930" s="1">
        <v>40909</v>
      </c>
      <c r="H1930" s="1">
        <v>41016</v>
      </c>
      <c r="K1930" t="s">
        <v>8851</v>
      </c>
      <c r="L1930" t="s">
        <v>6458</v>
      </c>
      <c r="M1930" t="s">
        <v>8852</v>
      </c>
      <c r="N1930" t="s">
        <v>8853</v>
      </c>
      <c r="O1930" t="s">
        <v>8854</v>
      </c>
      <c r="P1930" t="s">
        <v>18</v>
      </c>
    </row>
    <row r="1931" spans="1:16" x14ac:dyDescent="0.35">
      <c r="A1931">
        <v>1872684</v>
      </c>
      <c r="B1931" t="s">
        <v>8855</v>
      </c>
      <c r="C1931" t="str">
        <f>"9783037852361"</f>
        <v>9783037852361</v>
      </c>
      <c r="D1931" t="str">
        <f>"9783038135470"</f>
        <v>9783038135470</v>
      </c>
      <c r="E1931" t="s">
        <v>1649</v>
      </c>
      <c r="F1931" t="s">
        <v>1649</v>
      </c>
      <c r="G1931" s="1">
        <v>40822</v>
      </c>
      <c r="H1931" s="1">
        <v>41971</v>
      </c>
      <c r="I1931">
        <v>1</v>
      </c>
      <c r="J1931" t="s">
        <v>4195</v>
      </c>
      <c r="K1931" t="s">
        <v>8856</v>
      </c>
      <c r="L1931" t="s">
        <v>129</v>
      </c>
      <c r="M1931" t="s">
        <v>8857</v>
      </c>
      <c r="P1931" t="s">
        <v>18</v>
      </c>
    </row>
    <row r="1932" spans="1:16" x14ac:dyDescent="0.35">
      <c r="A1932">
        <v>1872672</v>
      </c>
      <c r="B1932" t="s">
        <v>8858</v>
      </c>
      <c r="C1932" t="str">
        <f>"9783037852248"</f>
        <v>9783037852248</v>
      </c>
      <c r="D1932" t="str">
        <f>"9783038135449"</f>
        <v>9783038135449</v>
      </c>
      <c r="E1932" t="s">
        <v>1649</v>
      </c>
      <c r="F1932" t="s">
        <v>1649</v>
      </c>
      <c r="G1932" s="1">
        <v>40812</v>
      </c>
      <c r="H1932" s="1">
        <v>41971</v>
      </c>
      <c r="I1932">
        <v>1</v>
      </c>
      <c r="J1932" t="s">
        <v>4195</v>
      </c>
      <c r="K1932" t="s">
        <v>8859</v>
      </c>
      <c r="L1932" t="s">
        <v>129</v>
      </c>
      <c r="M1932" t="s">
        <v>8860</v>
      </c>
      <c r="P1932" t="s">
        <v>18</v>
      </c>
    </row>
    <row r="1933" spans="1:16" x14ac:dyDescent="0.35">
      <c r="A1933">
        <v>1809598</v>
      </c>
      <c r="B1933" t="s">
        <v>8861</v>
      </c>
      <c r="C1933" t="str">
        <f>"9781845459505"</f>
        <v>9781845459505</v>
      </c>
      <c r="D1933" t="str">
        <f>"9780857453679"</f>
        <v>9780857453679</v>
      </c>
      <c r="E1933" t="s">
        <v>447</v>
      </c>
      <c r="F1933" t="s">
        <v>447</v>
      </c>
      <c r="G1933" s="1">
        <v>40513</v>
      </c>
      <c r="H1933" s="1">
        <v>41915</v>
      </c>
      <c r="I1933">
        <v>1</v>
      </c>
      <c r="K1933" t="s">
        <v>8862</v>
      </c>
      <c r="L1933" t="s">
        <v>34</v>
      </c>
      <c r="M1933" t="s">
        <v>8863</v>
      </c>
      <c r="N1933">
        <v>971.82010000000002</v>
      </c>
      <c r="P1933" t="s">
        <v>18</v>
      </c>
    </row>
    <row r="1934" spans="1:16" x14ac:dyDescent="0.35">
      <c r="A1934">
        <v>5879640</v>
      </c>
      <c r="B1934" t="s">
        <v>8864</v>
      </c>
      <c r="C1934" t="str">
        <f>"9780500288207"</f>
        <v>9780500288207</v>
      </c>
      <c r="D1934" t="str">
        <f>"9780500771235"</f>
        <v>9780500771235</v>
      </c>
      <c r="E1934" t="s">
        <v>5336</v>
      </c>
      <c r="F1934" t="s">
        <v>5336</v>
      </c>
      <c r="G1934" s="1">
        <v>40147</v>
      </c>
      <c r="H1934" s="1">
        <v>43701</v>
      </c>
      <c r="I1934">
        <v>1</v>
      </c>
      <c r="K1934" t="s">
        <v>8865</v>
      </c>
      <c r="L1934" t="s">
        <v>34</v>
      </c>
      <c r="M1934" t="s">
        <v>8866</v>
      </c>
      <c r="N1934">
        <v>981.1</v>
      </c>
      <c r="O1934" t="s">
        <v>8867</v>
      </c>
      <c r="P1934" t="s">
        <v>18</v>
      </c>
    </row>
    <row r="1935" spans="1:16" x14ac:dyDescent="0.35">
      <c r="A1935">
        <v>544370</v>
      </c>
      <c r="B1935" t="s">
        <v>8868</v>
      </c>
      <c r="C1935" t="str">
        <f>"9780857456137"</f>
        <v>9780857456137</v>
      </c>
      <c r="D1935" t="str">
        <f>"9781845459048"</f>
        <v>9781845459048</v>
      </c>
      <c r="E1935" t="s">
        <v>447</v>
      </c>
      <c r="F1935" t="s">
        <v>447</v>
      </c>
      <c r="G1935" s="1">
        <v>39904</v>
      </c>
      <c r="H1935" s="1">
        <v>40353</v>
      </c>
      <c r="I1935">
        <v>1</v>
      </c>
      <c r="J1935" t="s">
        <v>4079</v>
      </c>
      <c r="K1935" t="s">
        <v>8869</v>
      </c>
      <c r="L1935" t="s">
        <v>39</v>
      </c>
      <c r="M1935" t="s">
        <v>8870</v>
      </c>
      <c r="N1935">
        <v>333.72</v>
      </c>
      <c r="P1935" t="s">
        <v>18</v>
      </c>
    </row>
    <row r="1936" spans="1:16" x14ac:dyDescent="0.35">
      <c r="A1936">
        <v>544435</v>
      </c>
      <c r="B1936" t="s">
        <v>8871</v>
      </c>
      <c r="C1936" t="str">
        <f>"9781845452926"</f>
        <v>9781845452926</v>
      </c>
      <c r="D1936" t="str">
        <f>"9780857450630"</f>
        <v>9780857450630</v>
      </c>
      <c r="E1936" t="s">
        <v>447</v>
      </c>
      <c r="F1936" t="s">
        <v>447</v>
      </c>
      <c r="G1936" s="1">
        <v>39692</v>
      </c>
      <c r="H1936" s="1">
        <v>40353</v>
      </c>
      <c r="I1936">
        <v>1</v>
      </c>
      <c r="K1936" t="s">
        <v>8872</v>
      </c>
      <c r="L1936" t="s">
        <v>202</v>
      </c>
      <c r="M1936" t="s">
        <v>8873</v>
      </c>
      <c r="N1936" t="s">
        <v>8874</v>
      </c>
      <c r="P1936" t="s">
        <v>18</v>
      </c>
    </row>
    <row r="1937" spans="1:16" x14ac:dyDescent="0.35">
      <c r="A1937">
        <v>1466205</v>
      </c>
      <c r="B1937" t="s">
        <v>8875</v>
      </c>
      <c r="C1937" t="str">
        <f>"9780857451460"</f>
        <v>9780857451460</v>
      </c>
      <c r="D1937" t="str">
        <f>"9780857452849"</f>
        <v>9780857452849</v>
      </c>
      <c r="E1937" t="s">
        <v>447</v>
      </c>
      <c r="F1937" t="s">
        <v>447</v>
      </c>
      <c r="G1937" s="1">
        <v>39173</v>
      </c>
      <c r="H1937" s="1">
        <v>41703</v>
      </c>
      <c r="I1937">
        <v>1</v>
      </c>
      <c r="J1937" t="s">
        <v>4079</v>
      </c>
      <c r="K1937" t="s">
        <v>6064</v>
      </c>
      <c r="L1937" t="s">
        <v>41</v>
      </c>
      <c r="M1937" t="s">
        <v>8876</v>
      </c>
      <c r="N1937">
        <v>338.92700000000002</v>
      </c>
      <c r="P1937" t="s">
        <v>18</v>
      </c>
    </row>
    <row r="1938" spans="1:16" x14ac:dyDescent="0.35">
      <c r="A1938">
        <v>1659329</v>
      </c>
      <c r="B1938" t="s">
        <v>8877</v>
      </c>
      <c r="C1938" t="str">
        <f>"9781845451653"</f>
        <v>9781845451653</v>
      </c>
      <c r="D1938" t="str">
        <f>"9780857458490"</f>
        <v>9780857458490</v>
      </c>
      <c r="E1938" t="s">
        <v>447</v>
      </c>
      <c r="F1938" t="s">
        <v>447</v>
      </c>
      <c r="G1938" s="1">
        <v>39022</v>
      </c>
      <c r="H1938" s="1">
        <v>41724</v>
      </c>
      <c r="I1938">
        <v>1</v>
      </c>
      <c r="K1938" t="s">
        <v>8878</v>
      </c>
      <c r="L1938" t="s">
        <v>70</v>
      </c>
      <c r="M1938" t="s">
        <v>8879</v>
      </c>
      <c r="N1938" t="s">
        <v>8880</v>
      </c>
      <c r="P1938" t="s">
        <v>18</v>
      </c>
    </row>
    <row r="1939" spans="1:16" x14ac:dyDescent="0.35">
      <c r="A1939">
        <v>1659345</v>
      </c>
      <c r="B1939" t="s">
        <v>8881</v>
      </c>
      <c r="C1939" t="str">
        <f>"9781845455033"</f>
        <v>9781845455033</v>
      </c>
      <c r="D1939" t="str">
        <f>"9780857457165"</f>
        <v>9780857457165</v>
      </c>
      <c r="E1939" t="s">
        <v>447</v>
      </c>
      <c r="F1939" t="s">
        <v>447</v>
      </c>
      <c r="G1939" s="1">
        <v>38869</v>
      </c>
      <c r="H1939" s="1">
        <v>41724</v>
      </c>
      <c r="I1939">
        <v>1</v>
      </c>
      <c r="J1939" t="s">
        <v>8882</v>
      </c>
      <c r="K1939" t="s">
        <v>8883</v>
      </c>
      <c r="L1939" t="s">
        <v>28</v>
      </c>
      <c r="M1939" t="s">
        <v>8884</v>
      </c>
      <c r="P1939" t="s">
        <v>18</v>
      </c>
    </row>
    <row r="1940" spans="1:16" x14ac:dyDescent="0.35">
      <c r="A1940">
        <v>1666166</v>
      </c>
      <c r="B1940" t="s">
        <v>8885</v>
      </c>
      <c r="C1940" t="str">
        <f>"9781571815750"</f>
        <v>9781571815750</v>
      </c>
      <c r="D1940" t="str">
        <f>"9781782382096"</f>
        <v>9781782382096</v>
      </c>
      <c r="E1940" t="s">
        <v>447</v>
      </c>
      <c r="F1940" t="s">
        <v>447</v>
      </c>
      <c r="G1940" s="1">
        <v>37987</v>
      </c>
      <c r="H1940" s="1">
        <v>41751</v>
      </c>
      <c r="I1940">
        <v>1</v>
      </c>
      <c r="K1940" t="s">
        <v>8886</v>
      </c>
      <c r="L1940" t="s">
        <v>8887</v>
      </c>
      <c r="M1940" t="s">
        <v>8888</v>
      </c>
      <c r="N1940" t="s">
        <v>8889</v>
      </c>
      <c r="P1940" t="s">
        <v>18</v>
      </c>
    </row>
    <row r="1941" spans="1:16" x14ac:dyDescent="0.35">
      <c r="A1941">
        <v>4501258</v>
      </c>
      <c r="B1941" t="s">
        <v>8890</v>
      </c>
      <c r="C1941" t="str">
        <f>"9781571818416"</f>
        <v>9781571818416</v>
      </c>
      <c r="D1941" t="str">
        <f>"9781782381853"</f>
        <v>9781782381853</v>
      </c>
      <c r="E1941" t="s">
        <v>447</v>
      </c>
      <c r="F1941" t="s">
        <v>447</v>
      </c>
      <c r="G1941" s="1">
        <v>37530</v>
      </c>
      <c r="H1941" s="1">
        <v>42469</v>
      </c>
      <c r="I1941">
        <v>1</v>
      </c>
      <c r="J1941" t="s">
        <v>8891</v>
      </c>
      <c r="K1941" t="s">
        <v>8892</v>
      </c>
      <c r="L1941" t="s">
        <v>39</v>
      </c>
      <c r="M1941" t="s">
        <v>8893</v>
      </c>
      <c r="N1941" t="s">
        <v>8894</v>
      </c>
      <c r="P1941" t="s">
        <v>18</v>
      </c>
    </row>
  </sheetData>
  <autoFilter ref="A1:P1" xr:uid="{00000000-0009-0000-0000-000000000000}">
    <sortState xmlns:xlrd2="http://schemas.microsoft.com/office/spreadsheetml/2017/richdata2" ref="A2:P1941">
      <sortCondition descending="1" ref="G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SDG_YZU</vt:lpstr>
      <vt:lpstr>SDG_2023Q1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Debby Chue</dc:creator>
  <cp:lastModifiedBy>Alicia Chen</cp:lastModifiedBy>
  <dcterms:created xsi:type="dcterms:W3CDTF">2023-03-10T11:47:11Z</dcterms:created>
  <dcterms:modified xsi:type="dcterms:W3CDTF">2023-04-06T09:26:11Z</dcterms:modified>
</cp:coreProperties>
</file>